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0" yWindow="75" windowWidth="15480" windowHeight="8085"/>
  </bookViews>
  <sheets>
    <sheet name="Simulador cuota cliente" sheetId="25" r:id="rId1"/>
    <sheet name="NewCotizacion" sheetId="18" r:id="rId2"/>
    <sheet name="Cotizador" sheetId="21" r:id="rId3"/>
    <sheet name="Simulador asesor" sheetId="26" r:id="rId4"/>
    <sheet name="Tasas y Propuestas" sheetId="23" state="hidden" r:id="rId5"/>
    <sheet name="Fasecolda" sheetId="24" state="hidden" r:id="rId6"/>
  </sheets>
  <definedNames>
    <definedName name="_xlnm._FilterDatabase" localSheetId="2" hidden="1">Cotizador!$H$1:$N$157</definedName>
    <definedName name="_xlnm._FilterDatabase" localSheetId="5" hidden="1">Fasecolda!$A$1:$L$143</definedName>
  </definedNames>
  <calcPr calcId="145621"/>
</workbook>
</file>

<file path=xl/calcChain.xml><?xml version="1.0" encoding="utf-8"?>
<calcChain xmlns="http://schemas.openxmlformats.org/spreadsheetml/2006/main">
  <c r="D18" i="26" l="1"/>
  <c r="D16" i="26"/>
  <c r="D17" i="26"/>
  <c r="D14" i="26"/>
  <c r="E4" i="26"/>
  <c r="G28" i="25"/>
  <c r="E9" i="25"/>
  <c r="E11" i="25"/>
  <c r="F4" i="25"/>
  <c r="H143" i="24"/>
  <c r="H142" i="24"/>
  <c r="J18" i="21"/>
  <c r="J16" i="21"/>
  <c r="J17" i="21"/>
  <c r="B5" i="23"/>
  <c r="B6" i="23"/>
  <c r="B7" i="23"/>
  <c r="B8" i="23"/>
  <c r="B9" i="23"/>
  <c r="B10" i="23"/>
  <c r="B11" i="23"/>
  <c r="B12" i="23"/>
  <c r="B13" i="23"/>
  <c r="B4" i="23"/>
  <c r="J12" i="21"/>
  <c r="J15" i="21"/>
  <c r="J30" i="21"/>
  <c r="H40" i="24"/>
  <c r="H41" i="24"/>
  <c r="H42" i="24"/>
  <c r="H43" i="24"/>
  <c r="H44" i="24"/>
  <c r="H45" i="24"/>
  <c r="H39" i="24"/>
  <c r="H52" i="24"/>
  <c r="H127" i="24"/>
  <c r="H117" i="24"/>
  <c r="H84" i="24"/>
  <c r="H85" i="24"/>
  <c r="H86" i="24"/>
  <c r="H87" i="24"/>
  <c r="H88" i="24"/>
  <c r="H89" i="24"/>
  <c r="H90" i="24"/>
  <c r="H91" i="24"/>
  <c r="H92" i="24"/>
  <c r="H93" i="24"/>
  <c r="H73" i="24"/>
  <c r="H3"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46" i="24"/>
  <c r="H47" i="24"/>
  <c r="H48" i="24"/>
  <c r="H49" i="24"/>
  <c r="H50" i="24"/>
  <c r="H51" i="24"/>
  <c r="H53" i="24"/>
  <c r="H54" i="24"/>
  <c r="H55" i="24"/>
  <c r="H56" i="24"/>
  <c r="H57" i="24"/>
  <c r="H58" i="24"/>
  <c r="H59" i="24"/>
  <c r="H60" i="24"/>
  <c r="H61" i="24"/>
  <c r="H62" i="24"/>
  <c r="H63" i="24"/>
  <c r="H64" i="24"/>
  <c r="H65" i="24"/>
  <c r="H66" i="24"/>
  <c r="H67" i="24"/>
  <c r="H68" i="24"/>
  <c r="H69" i="24"/>
  <c r="H70" i="24"/>
  <c r="H71" i="24"/>
  <c r="H72" i="24"/>
  <c r="H74" i="24"/>
  <c r="H75" i="24"/>
  <c r="H76" i="24"/>
  <c r="H77" i="24"/>
  <c r="H78" i="24"/>
  <c r="H79" i="24"/>
  <c r="H80" i="24"/>
  <c r="H81" i="24"/>
  <c r="H82" i="24"/>
  <c r="H8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8" i="24"/>
  <c r="H119" i="24"/>
  <c r="H120" i="24"/>
  <c r="H121" i="24"/>
  <c r="H122" i="24"/>
  <c r="H123" i="24"/>
  <c r="H124" i="24"/>
  <c r="H125" i="24"/>
  <c r="H126" i="24"/>
  <c r="H128" i="24"/>
  <c r="H129" i="24"/>
  <c r="H130" i="24"/>
  <c r="H131" i="24"/>
  <c r="H132" i="24"/>
  <c r="H133" i="24"/>
  <c r="H134" i="24"/>
  <c r="H135" i="24"/>
  <c r="H136" i="24"/>
  <c r="H137" i="24"/>
  <c r="H138" i="24"/>
  <c r="H139" i="24"/>
  <c r="H140" i="24"/>
  <c r="H141" i="24"/>
  <c r="H2" i="24"/>
  <c r="K30" i="21"/>
  <c r="F20" i="21"/>
  <c r="F19" i="21"/>
  <c r="X31" i="18"/>
  <c r="F18" i="21"/>
  <c r="X29" i="18"/>
  <c r="F17" i="21"/>
  <c r="X27" i="18"/>
  <c r="F16" i="21"/>
  <c r="X25" i="18"/>
  <c r="E16" i="21"/>
  <c r="S25" i="18"/>
  <c r="F15" i="21"/>
  <c r="E15" i="21"/>
  <c r="S19" i="18"/>
  <c r="J26" i="21"/>
  <c r="C75" i="18"/>
  <c r="C60" i="18"/>
  <c r="J21" i="21"/>
  <c r="Y47" i="18"/>
  <c r="Y43" i="18"/>
  <c r="Y55" i="18"/>
  <c r="Y51" i="18"/>
  <c r="Y45" i="18"/>
  <c r="Y41" i="18"/>
  <c r="Y39" i="18"/>
  <c r="C12" i="18"/>
  <c r="O153" i="18"/>
  <c r="I9" i="21"/>
  <c r="Z12" i="18"/>
  <c r="E18" i="21"/>
  <c r="S29" i="18"/>
  <c r="E17" i="21"/>
  <c r="S27" i="18"/>
  <c r="E19" i="21"/>
  <c r="S31" i="18"/>
  <c r="X19" i="18"/>
  <c r="J14" i="21"/>
  <c r="I30" i="21"/>
  <c r="L30" i="21"/>
  <c r="J19" i="21"/>
  <c r="J13" i="21"/>
  <c r="C7" i="21"/>
  <c r="Y49" i="18"/>
  <c r="J20" i="21"/>
  <c r="J22" i="21"/>
  <c r="Y71" i="18" s="1"/>
  <c r="J25" i="21"/>
  <c r="K26" i="21"/>
  <c r="E16" i="25"/>
  <c r="E17" i="25"/>
  <c r="J23" i="21" l="1"/>
  <c r="Y73" i="18" s="1"/>
  <c r="Y75" i="18" s="1"/>
  <c r="E15" i="25" l="1"/>
  <c r="E20" i="25" s="1"/>
  <c r="D13" i="26"/>
  <c r="D21" i="26" s="1"/>
</calcChain>
</file>

<file path=xl/comments1.xml><?xml version="1.0" encoding="utf-8"?>
<comments xmlns="http://schemas.openxmlformats.org/spreadsheetml/2006/main">
  <authors>
    <author>Susana Moreno Cardona</author>
  </authors>
  <commentList>
    <comment ref="I29" authorId="0">
      <text>
        <r>
          <rPr>
            <b/>
            <sz val="9"/>
            <color indexed="81"/>
            <rFont val="Tahoma"/>
            <charset val="1"/>
          </rPr>
          <t>Susana Moreno Cardona:</t>
        </r>
        <r>
          <rPr>
            <sz val="9"/>
            <color indexed="81"/>
            <rFont val="Tahoma"/>
            <charset val="1"/>
          </rPr>
          <t xml:space="preserve">
cuadro 1: Motocicletas y motocarros resto
cuadro 2: Motocicletas y motocarros AKT</t>
        </r>
      </text>
    </comment>
  </commentList>
</comments>
</file>

<file path=xl/sharedStrings.xml><?xml version="1.0" encoding="utf-8"?>
<sst xmlns="http://schemas.openxmlformats.org/spreadsheetml/2006/main" count="1193" uniqueCount="553">
  <si>
    <t>PARTICULAR</t>
  </si>
  <si>
    <t>NO APLICA</t>
  </si>
  <si>
    <t>Clase</t>
  </si>
  <si>
    <t>Marca</t>
  </si>
  <si>
    <t>BOGOTA D.C.</t>
  </si>
  <si>
    <t>PTH</t>
  </si>
  <si>
    <t>MT 110CC</t>
  </si>
  <si>
    <t>MT 200CC</t>
  </si>
  <si>
    <t>Descripción</t>
  </si>
  <si>
    <t>Modelo</t>
  </si>
  <si>
    <t>Valor Asegurado</t>
  </si>
  <si>
    <t>Fecha:</t>
  </si>
  <si>
    <t>Nombre Completo</t>
  </si>
  <si>
    <t>Bonificación</t>
  </si>
  <si>
    <t>AT 125CC</t>
  </si>
  <si>
    <t>125</t>
  </si>
  <si>
    <t>MT 125CC</t>
  </si>
  <si>
    <t>ARAUCA</t>
  </si>
  <si>
    <t>Placa</t>
  </si>
  <si>
    <t>BUCARAMANGA</t>
  </si>
  <si>
    <t>MOTOCICLETA</t>
  </si>
  <si>
    <t>MT 150CC</t>
  </si>
  <si>
    <t>PPD</t>
  </si>
  <si>
    <t>PTD</t>
  </si>
  <si>
    <t>PPH</t>
  </si>
  <si>
    <t>Codigo</t>
  </si>
  <si>
    <t>Referencia1</t>
  </si>
  <si>
    <t>Referencia2</t>
  </si>
  <si>
    <t>Referencia3</t>
  </si>
  <si>
    <t>Servicio</t>
  </si>
  <si>
    <t>RCE</t>
  </si>
  <si>
    <t>SOLICITUD DE SEGURO</t>
  </si>
  <si>
    <t>Coberturas Básicas</t>
  </si>
  <si>
    <t>Valor asegurado</t>
  </si>
  <si>
    <t>Deducible</t>
  </si>
  <si>
    <t>Pérdida Parcial</t>
  </si>
  <si>
    <t>Pérdida Total</t>
  </si>
  <si>
    <t>Con Sufi tienes más:</t>
  </si>
  <si>
    <t>Datos del vehículo</t>
  </si>
  <si>
    <t xml:space="preserve">               En caso de pérdida total, te pagamos el mayor valor entre el saldo de tu crédito con Sufi y el valor comercial del vehículo, según Fasecolda</t>
  </si>
  <si>
    <t>Fasecolda</t>
  </si>
  <si>
    <t>Zona de circulación</t>
  </si>
  <si>
    <t>Vigencia del seguro</t>
  </si>
  <si>
    <t>Valor del Seguro</t>
  </si>
  <si>
    <t>Total/mes</t>
  </si>
  <si>
    <t>Términos y condiciones</t>
  </si>
  <si>
    <t>La variación de la información consignada en esta solicitud generará ajustes en el valor de la prima. El valor asegurado está supeditado a la inspección realizada por SEGUROS GENERALES SURAMERICANA S.A. Los términos de la cotización están sujetos a las condiciones generales y particulares del seguro que se cotiza.</t>
  </si>
  <si>
    <t>Los accesorios diferentes a los originales de fábrica y relacionados con el sonido, aire acondicionado, alarma,   solo serán asegurables siempre y cuando presenten inspección de los mismos, previo conocimiento de SEGUROS GENERALES SURAMERICANA S.A.</t>
  </si>
  <si>
    <t>(antes de firmar lee las NOTAS)</t>
  </si>
  <si>
    <r>
      <t xml:space="preserve">Responsabilidad Civil Extracontractual
</t>
    </r>
    <r>
      <rPr>
        <sz val="9"/>
        <rFont val="Calibri"/>
        <family val="2"/>
      </rPr>
      <t>Daños a bienes de terceros
Muerte o Lesiones a terceros
Asistencia en proceso penal y Civil</t>
    </r>
  </si>
  <si>
    <t xml:space="preserve">              Pensando en tu comodidad y en tu tranquilidad, puedes pagar el seguro de tu Moto con la cuota del crédito, mes a mes, y sin recargo por financiación.</t>
  </si>
  <si>
    <t xml:space="preserve">Autorizo expresa e irrevocablemente a Seguros Generales Suramericana S.A., para que incluya, en la póliza de seguro expedida con base en esta cotización, a BANCOLOMBIA S.A. como beneficiario oneroso, hasta por el monto de la obligación adquirida con BANCOLOMBIA S.A. para financiar la adquisición del citado vehículo. </t>
  </si>
  <si>
    <t>En caso de emergencia recuerda llamar a la Línea de atención: Bogotá 444 6600; Medellín 510 7880; Cali 554 0585; Resto del país 018000 517834</t>
  </si>
  <si>
    <t>MEDELLIN</t>
  </si>
  <si>
    <t>CALI</t>
  </si>
  <si>
    <t>BARRANQUILLA</t>
  </si>
  <si>
    <t>CARTAGENA</t>
  </si>
  <si>
    <t xml:space="preserve">SANTA MARTA </t>
  </si>
  <si>
    <t>CÚCUTA</t>
  </si>
  <si>
    <t>MANIZALES</t>
  </si>
  <si>
    <t>ARMENIA</t>
  </si>
  <si>
    <t>FLORENCIA</t>
  </si>
  <si>
    <t>IBAGUÉ</t>
  </si>
  <si>
    <t>LETICIA</t>
  </si>
  <si>
    <t>MITÚ</t>
  </si>
  <si>
    <t>MOCOA</t>
  </si>
  <si>
    <t>MONTERÍA</t>
  </si>
  <si>
    <t>NEIVA</t>
  </si>
  <si>
    <t>PASTO</t>
  </si>
  <si>
    <t>PEREIRA</t>
  </si>
  <si>
    <t>POPAYÁN</t>
  </si>
  <si>
    <t>PUERTO CARREÑO</t>
  </si>
  <si>
    <t>PUERTO INÍRIDA</t>
  </si>
  <si>
    <t>QUIBDÓ</t>
  </si>
  <si>
    <t>RIOHACHA</t>
  </si>
  <si>
    <t>SAN ANDRES</t>
  </si>
  <si>
    <t>SAN JOSÉ DEL GUAVIARE</t>
  </si>
  <si>
    <t>SINCELEJO</t>
  </si>
  <si>
    <t>TUNJA</t>
  </si>
  <si>
    <t>VALLEDUPAR</t>
  </si>
  <si>
    <t>VILLAVICENCIO</t>
  </si>
  <si>
    <t>YOPAL</t>
  </si>
  <si>
    <t>DE TRABAJO</t>
  </si>
  <si>
    <t>GILBERTO MONTOYA</t>
  </si>
  <si>
    <t>FAMILIAR</t>
  </si>
  <si>
    <t>BAJO CILINDRAJE</t>
  </si>
  <si>
    <t>Id</t>
  </si>
  <si>
    <t>BRG900</t>
  </si>
  <si>
    <t>SI</t>
  </si>
  <si>
    <t>NO</t>
  </si>
  <si>
    <t>Amparos</t>
  </si>
  <si>
    <t>Asistencia En viaje</t>
  </si>
  <si>
    <t>Fecha de actualizacion</t>
  </si>
  <si>
    <t>Asistencia</t>
  </si>
  <si>
    <t>1 año a partir de la fecha de desembolso.</t>
  </si>
  <si>
    <t xml:space="preserve">NOTA 1: Entiendo que la presente solicitud de seguro provisional no constituye aceptación del riesgo por parte de SEGUROS GENERALES SURAMERICANA S.A., hasta tanto la compañía se manifieste de manera expresa y en documento escrito, sin embargo, la firma de este documento es señal de aceptación de esta propuesta de seguro y por lo tanto con ella, estoy autorizando a SEGUROS GENERALES SURAMERICANA S.A para que expida la correspondiente póliza en las condiciones aquí indicadas, y a Sufi para que debite la prima correspondiente junto con la cuota mensual de mi crédito. </t>
  </si>
  <si>
    <t>Recuerde que este seguro estará vigente hasta el momento en que se cancele el contrato de leasing o el crédito, fecha en la cual cesará la cobertura para este vehículo y usted deberá contratar otra póliza de seguro.</t>
  </si>
  <si>
    <t>Hurto
En caso de sufrir el hurto de  tu vehículo o sus partes, te cubrimos.</t>
  </si>
  <si>
    <t>Uso del vehículo</t>
  </si>
  <si>
    <t>Código Fasecolda</t>
  </si>
  <si>
    <t>Línea</t>
  </si>
  <si>
    <t>Uso del Vehículo</t>
  </si>
  <si>
    <t>Ciudad de circulación</t>
  </si>
  <si>
    <t>Responsabilidad Civil Extracontractual(RCE)</t>
  </si>
  <si>
    <t>Pérdida Parcial Daños (PPD)</t>
  </si>
  <si>
    <t>Pérdida Total Daños    (PTD)</t>
  </si>
  <si>
    <t>Pérdida Parcial Hurto    (PPH)</t>
  </si>
  <si>
    <t>Pérdida Total Hurto     (PTH)</t>
  </si>
  <si>
    <t>El seguro de autos Sufi es una solución pensada exclusivamente para los clientes Sufi, con la cual tendrás la tranquilidad de que tú y tu familia están bien protegidos en todo momento, vayas a donde vayas, al mismo tiempo que disfrutas de tu nuevo vehículo.</t>
  </si>
  <si>
    <t>Daños
En caso de que tu vehículo sufra algún daño, te cubrimos.</t>
  </si>
  <si>
    <t>Prima/mes sin IVA</t>
  </si>
  <si>
    <t>NOTA 2:  Como solicitante, entiendo y acepto la cláusula que se refiere a la inexistencia de partes en el mercado, la cual hace parte de las condiciones generales de la póliza de automóviles. Si las partes, piezas o accesorios necesarios para una reparación o reemplazo no se encuentran en el comercio local de repuestos, SURAMERICANA cumplirá válidamente su obligación de indemnizar, pagando al ASEGURADO el valor de las mismas según la última cotización del representante local autorizado de la fábrica, y a falta de éste, del almacén que más recientemente los haya tenido.</t>
  </si>
  <si>
    <t>En caso de que la compañía acepte el riesgo, la aseguradora concede un plazo máximo de sesenta (60) días calendario, a partir del inicio de la vigencia individual de cada riesgo o de la autorización de inclusión del mismo, para llevar a cabo la legalización de la tarjeta de propiedad del automotor a nombre de Leasing Bancolombia o  del propietario con prenda a BANCOLOMBIA. Queda claro que durante este lapso no se objetará ninguna reclamación por falta de interés asegurable y en caso que deba prorrogarse  este término, la aseguradora atenderá favorablemente todos los siniestros de pérdidas parciales. Para pérdidas totales se deberá esperar la matrícula definitiva.</t>
  </si>
  <si>
    <t>Declaro que deseo recibir la caratula de la póliza y las condiciones generales del producto de manera digital a la siguiente dirección electrónica:_________________________________________,en caso contrario que sea enviado a la siguiente dirección fisica: _______________________________________________Ciudad____________________, Barrio _________________________, Urbanizacion_________________bloque o torre________________ , Apartamento_________</t>
  </si>
  <si>
    <t xml:space="preserve"> </t>
  </si>
  <si>
    <t>LÍNEA</t>
  </si>
  <si>
    <t>Clase Sufi</t>
  </si>
  <si>
    <t>Referencia de busqueda</t>
  </si>
  <si>
    <t>AP</t>
  </si>
  <si>
    <t>0% - 0</t>
  </si>
  <si>
    <t>Propuesta</t>
  </si>
  <si>
    <t xml:space="preserve">RCE, PT y PP 80% </t>
  </si>
  <si>
    <t xml:space="preserve">RCE, PT y PP 90% </t>
  </si>
  <si>
    <t>Accidentes Personales al conductor</t>
  </si>
  <si>
    <t>Ver condicionando</t>
  </si>
  <si>
    <t>0% - min 0</t>
  </si>
  <si>
    <t>10% - min 1</t>
  </si>
  <si>
    <t>tasa</t>
  </si>
  <si>
    <t>prima mes</t>
  </si>
  <si>
    <t>Iva mes</t>
  </si>
  <si>
    <t>Total</t>
  </si>
  <si>
    <t xml:space="preserve">                 Accidentes Personales:  Cubre al asegurado o conductor autorizado del vehículo asegurado, en caso de invalidez total y permanente, muerte accidental, desmembración e inutilización.  $20 millones de cobertura.</t>
  </si>
  <si>
    <t xml:space="preserve">               En caso de que requieras de un abogado que te ayude para la liberación de la moto retenida por el tránsito, nosotros te lo prestamos. </t>
  </si>
  <si>
    <t xml:space="preserve">               En caso de que requieras la asistencia de un abogado que te asista en la audiencia de tránsito, nosotros te lo prestamos.</t>
  </si>
  <si>
    <t>RCE, PT 80%, min 1</t>
  </si>
  <si>
    <t>RCE, PT 90%, min 1</t>
  </si>
  <si>
    <t>RCE, PT 100%, min 0</t>
  </si>
  <si>
    <t xml:space="preserve">RCE, PT y PP 80%, min 1 </t>
  </si>
  <si>
    <t xml:space="preserve">RCE, PT y PP 90%, min 1 </t>
  </si>
  <si>
    <t>No aplica</t>
  </si>
  <si>
    <t>Solo PT 80%</t>
  </si>
  <si>
    <t>Solo PT 90%</t>
  </si>
  <si>
    <t>Solo PT 100%</t>
  </si>
  <si>
    <t>Solo PT 80%, min 1</t>
  </si>
  <si>
    <t>Solo PT 90%, min 1</t>
  </si>
  <si>
    <t>_____________________________________________</t>
  </si>
  <si>
    <t>Zona</t>
  </si>
  <si>
    <t>MOTOCARRO</t>
  </si>
  <si>
    <t>MT 100CC</t>
  </si>
  <si>
    <t>MT 180CC</t>
  </si>
  <si>
    <t>150</t>
  </si>
  <si>
    <t>AT 150CC</t>
  </si>
  <si>
    <t>Antigüedad</t>
  </si>
  <si>
    <t>%</t>
  </si>
  <si>
    <t>10% - min 0</t>
  </si>
  <si>
    <t xml:space="preserve">RCE, PT y PP 70%, min 1 </t>
  </si>
  <si>
    <t>RCE, PT 80%</t>
  </si>
  <si>
    <t>RCE, PT 90%</t>
  </si>
  <si>
    <t>RCE, PT 100%</t>
  </si>
  <si>
    <t>RCE, PT y PP 70%</t>
  </si>
  <si>
    <t>20% - min 1 SMMLV</t>
  </si>
  <si>
    <t>30% - min 1 SMMLV</t>
  </si>
  <si>
    <t>Recuerde leer el condicionado general de la póliza y específicamente las exclusiones relacionadas con el uso del vehículo, los vehículos en alquiler y el abuso de confianza y la estafa.</t>
  </si>
  <si>
    <t>80</t>
  </si>
  <si>
    <t>100</t>
  </si>
  <si>
    <t>BRAVO</t>
  </si>
  <si>
    <t>MAX</t>
  </si>
  <si>
    <t>MT 90CC</t>
  </si>
  <si>
    <t>MT 135CC</t>
  </si>
  <si>
    <t>110</t>
  </si>
  <si>
    <t>AT 100CC</t>
  </si>
  <si>
    <t>250</t>
  </si>
  <si>
    <t>AT 250CC</t>
  </si>
  <si>
    <t>20% - min 0 SMMLV</t>
  </si>
  <si>
    <t>10% - min 0 SMMLV</t>
  </si>
  <si>
    <t>30% - min 0 SMMLV</t>
  </si>
  <si>
    <t>20% - min 0</t>
  </si>
  <si>
    <t>Plan Motos Sufi</t>
  </si>
  <si>
    <t>LEAD</t>
  </si>
  <si>
    <t>XL</t>
  </si>
  <si>
    <t>185</t>
  </si>
  <si>
    <t>MT 185CC</t>
  </si>
  <si>
    <t>XLR</t>
  </si>
  <si>
    <t>MT 250CC</t>
  </si>
  <si>
    <t>XR</t>
  </si>
  <si>
    <t>200R</t>
  </si>
  <si>
    <t>250 [TORNADO]</t>
  </si>
  <si>
    <t>NXR</t>
  </si>
  <si>
    <t>125 [BROS]</t>
  </si>
  <si>
    <t>E STORM</t>
  </si>
  <si>
    <t>C100</t>
  </si>
  <si>
    <t>100 [WAVE]</t>
  </si>
  <si>
    <t>CBZ</t>
  </si>
  <si>
    <t>160 ES</t>
  </si>
  <si>
    <t>MT 160CC</t>
  </si>
  <si>
    <t>200</t>
  </si>
  <si>
    <t>ELITE</t>
  </si>
  <si>
    <t>C90</t>
  </si>
  <si>
    <t>90</t>
  </si>
  <si>
    <t>SUPER SPLENDOR</t>
  </si>
  <si>
    <t>SPLENDOR</t>
  </si>
  <si>
    <t>FT</t>
  </si>
  <si>
    <t>BIZ</t>
  </si>
  <si>
    <t>125 ES</t>
  </si>
  <si>
    <t>CH</t>
  </si>
  <si>
    <t>CRF</t>
  </si>
  <si>
    <t>250R</t>
  </si>
  <si>
    <t>ECO</t>
  </si>
  <si>
    <t>DELUXE</t>
  </si>
  <si>
    <t>CBF [1]</t>
  </si>
  <si>
    <t>NXG</t>
  </si>
  <si>
    <t>50</t>
  </si>
  <si>
    <t>MT 50CC</t>
  </si>
  <si>
    <t>CBF</t>
  </si>
  <si>
    <t>CB</t>
  </si>
  <si>
    <t>125E</t>
  </si>
  <si>
    <t>125L</t>
  </si>
  <si>
    <t>150 INVICTA</t>
  </si>
  <si>
    <t>100 [WAVE II]</t>
  </si>
  <si>
    <t>CBR</t>
  </si>
  <si>
    <t>250RC</t>
  </si>
  <si>
    <t>MT 250CC ABS</t>
  </si>
  <si>
    <t>CBF [2]</t>
  </si>
  <si>
    <t>1</t>
  </si>
  <si>
    <t>100R</t>
  </si>
  <si>
    <t>AERO</t>
  </si>
  <si>
    <t>CD</t>
  </si>
  <si>
    <t>TRX</t>
  </si>
  <si>
    <t>AT 90CC 4X2</t>
  </si>
  <si>
    <t>ZX</t>
  </si>
  <si>
    <t>100 KINETIC</t>
  </si>
  <si>
    <t>AT 100CC 2T</t>
  </si>
  <si>
    <t>250 NIGHTHAWK</t>
  </si>
  <si>
    <t>C 100</t>
  </si>
  <si>
    <t>REBEL</t>
  </si>
  <si>
    <t>CA 125</t>
  </si>
  <si>
    <t>CG</t>
  </si>
  <si>
    <t>125 TITAN</t>
  </si>
  <si>
    <t>100+</t>
  </si>
  <si>
    <t>160 KS</t>
  </si>
  <si>
    <t>PASSION</t>
  </si>
  <si>
    <t>SCV100</t>
  </si>
  <si>
    <t>100 DAWN</t>
  </si>
  <si>
    <t>230F</t>
  </si>
  <si>
    <t>MT 230CC</t>
  </si>
  <si>
    <t>ES</t>
  </si>
  <si>
    <t>KS</t>
  </si>
  <si>
    <t>250 TWISTER</t>
  </si>
  <si>
    <t>AT 110CC</t>
  </si>
  <si>
    <t>ASESOR</t>
  </si>
  <si>
    <t>________________________________________</t>
  </si>
  <si>
    <t>FASECOLDA</t>
  </si>
  <si>
    <t>Iva(19%)</t>
  </si>
  <si>
    <t>150 NUEVA INVICTA</t>
  </si>
  <si>
    <t>125E POWER SPORT</t>
  </si>
  <si>
    <t>1 PRO</t>
  </si>
  <si>
    <t>190R</t>
  </si>
  <si>
    <t>MT 190CC</t>
  </si>
  <si>
    <t>160F DLX</t>
  </si>
  <si>
    <t>160F STD</t>
  </si>
  <si>
    <t>00317003</t>
  </si>
  <si>
    <t>00317004</t>
  </si>
  <si>
    <t>00317006</t>
  </si>
  <si>
    <t>00317007</t>
  </si>
  <si>
    <t>00317008</t>
  </si>
  <si>
    <t>00317009</t>
  </si>
  <si>
    <t>00317010</t>
  </si>
  <si>
    <t>00317015</t>
  </si>
  <si>
    <t>00317016</t>
  </si>
  <si>
    <t>00317017</t>
  </si>
  <si>
    <t>00317019</t>
  </si>
  <si>
    <t>00317022</t>
  </si>
  <si>
    <t>00317025</t>
  </si>
  <si>
    <t>00317028</t>
  </si>
  <si>
    <t>00317029</t>
  </si>
  <si>
    <t>00317035</t>
  </si>
  <si>
    <t>00317037</t>
  </si>
  <si>
    <t>00317038</t>
  </si>
  <si>
    <t>00317039</t>
  </si>
  <si>
    <t>00317041</t>
  </si>
  <si>
    <t>00317042</t>
  </si>
  <si>
    <t>00317043</t>
  </si>
  <si>
    <t>00317044</t>
  </si>
  <si>
    <t>00317045</t>
  </si>
  <si>
    <t>00317046</t>
  </si>
  <si>
    <t>00317047</t>
  </si>
  <si>
    <t>00317048</t>
  </si>
  <si>
    <t>00317049</t>
  </si>
  <si>
    <t>00317050</t>
  </si>
  <si>
    <t>00317051</t>
  </si>
  <si>
    <t>00317052</t>
  </si>
  <si>
    <t>00317053</t>
  </si>
  <si>
    <t>00317054</t>
  </si>
  <si>
    <t>00317055</t>
  </si>
  <si>
    <t>00317056</t>
  </si>
  <si>
    <t>00317057</t>
  </si>
  <si>
    <t>00317058</t>
  </si>
  <si>
    <t>00317059</t>
  </si>
  <si>
    <t>00317060</t>
  </si>
  <si>
    <t>00317061</t>
  </si>
  <si>
    <t>00317062</t>
  </si>
  <si>
    <t>00317063</t>
  </si>
  <si>
    <t>00317064</t>
  </si>
  <si>
    <t>00317065</t>
  </si>
  <si>
    <t>00317066</t>
  </si>
  <si>
    <t>00317067</t>
  </si>
  <si>
    <t>00317068</t>
  </si>
  <si>
    <t>00317069</t>
  </si>
  <si>
    <t>00317070</t>
  </si>
  <si>
    <t>00319001</t>
  </si>
  <si>
    <t>00319015</t>
  </si>
  <si>
    <t>00319016</t>
  </si>
  <si>
    <t>00319017</t>
  </si>
  <si>
    <t>00319019</t>
  </si>
  <si>
    <t>00319020</t>
  </si>
  <si>
    <t>04517006</t>
  </si>
  <si>
    <t>04517012</t>
  </si>
  <si>
    <t>04517015</t>
  </si>
  <si>
    <t>04517021</t>
  </si>
  <si>
    <t>04517033</t>
  </si>
  <si>
    <t>04517060</t>
  </si>
  <si>
    <t>04517061</t>
  </si>
  <si>
    <t>04517062</t>
  </si>
  <si>
    <t>04517065</t>
  </si>
  <si>
    <t>04517068</t>
  </si>
  <si>
    <t>04517071</t>
  </si>
  <si>
    <t>04517072</t>
  </si>
  <si>
    <t>04517075</t>
  </si>
  <si>
    <t>04517079</t>
  </si>
  <si>
    <t>04517087</t>
  </si>
  <si>
    <t>04517092</t>
  </si>
  <si>
    <t>04517099</t>
  </si>
  <si>
    <t>04517105</t>
  </si>
  <si>
    <t>04517108</t>
  </si>
  <si>
    <t>04517111</t>
  </si>
  <si>
    <t>04517112</t>
  </si>
  <si>
    <t>04517126</t>
  </si>
  <si>
    <t>04517127</t>
  </si>
  <si>
    <t>04517131</t>
  </si>
  <si>
    <t>04517139</t>
  </si>
  <si>
    <t>04519004</t>
  </si>
  <si>
    <t>10117001</t>
  </si>
  <si>
    <t>10117002</t>
  </si>
  <si>
    <t>10117003</t>
  </si>
  <si>
    <t>10117005</t>
  </si>
  <si>
    <t>10117006</t>
  </si>
  <si>
    <t>10117007</t>
  </si>
  <si>
    <t>10117008</t>
  </si>
  <si>
    <t>10117010</t>
  </si>
  <si>
    <t>10117012</t>
  </si>
  <si>
    <t>10117013</t>
  </si>
  <si>
    <t>10117014</t>
  </si>
  <si>
    <t>10117015</t>
  </si>
  <si>
    <t>10117016</t>
  </si>
  <si>
    <t>10117017</t>
  </si>
  <si>
    <t>10117018</t>
  </si>
  <si>
    <t>10117019</t>
  </si>
  <si>
    <t>10117020</t>
  </si>
  <si>
    <t>10117021</t>
  </si>
  <si>
    <t>10117022</t>
  </si>
  <si>
    <t>10117023</t>
  </si>
  <si>
    <t>10117024</t>
  </si>
  <si>
    <t>10119002</t>
  </si>
  <si>
    <t>10119003</t>
  </si>
  <si>
    <t>17417006</t>
  </si>
  <si>
    <t>17417014</t>
  </si>
  <si>
    <t>17417015</t>
  </si>
  <si>
    <t>17417016</t>
  </si>
  <si>
    <t>17417017</t>
  </si>
  <si>
    <t>17417019</t>
  </si>
  <si>
    <t>17417024</t>
  </si>
  <si>
    <t>17417025</t>
  </si>
  <si>
    <t>17417038</t>
  </si>
  <si>
    <t>17417046</t>
  </si>
  <si>
    <t>17417048</t>
  </si>
  <si>
    <t>17417052</t>
  </si>
  <si>
    <t>39617001</t>
  </si>
  <si>
    <t>39617002</t>
  </si>
  <si>
    <t>39617003</t>
  </si>
  <si>
    <t>AUTECO</t>
  </si>
  <si>
    <t>KAWASAKI</t>
  </si>
  <si>
    <t>KYMCO</t>
  </si>
  <si>
    <t>KTM</t>
  </si>
  <si>
    <t>VICTORY</t>
  </si>
  <si>
    <t>SUMA</t>
  </si>
  <si>
    <t>MT 80CC 2T</t>
  </si>
  <si>
    <t>KTZ</t>
  </si>
  <si>
    <t>BAJAJ</t>
  </si>
  <si>
    <t>PLUS POWER</t>
  </si>
  <si>
    <t>ZIP</t>
  </si>
  <si>
    <t>AT 80CC</t>
  </si>
  <si>
    <t>KB</t>
  </si>
  <si>
    <t>SUNNY</t>
  </si>
  <si>
    <t>MT 80CC</t>
  </si>
  <si>
    <t>PLUS CLASSIC</t>
  </si>
  <si>
    <t>BOXER CT100</t>
  </si>
  <si>
    <t>LEGEND</t>
  </si>
  <si>
    <t>MT 145CC</t>
  </si>
  <si>
    <t>SPIRIT 60</t>
  </si>
  <si>
    <t>AT 60CC</t>
  </si>
  <si>
    <t>NXT 150</t>
  </si>
  <si>
    <t>PULSAR</t>
  </si>
  <si>
    <t>AVANTI</t>
  </si>
  <si>
    <t>FURAX</t>
  </si>
  <si>
    <t>DISCOVER [1]</t>
  </si>
  <si>
    <t>PULSAR II</t>
  </si>
  <si>
    <t>PLATINO</t>
  </si>
  <si>
    <t>DISCOVER [2] SUPREME</t>
  </si>
  <si>
    <t>DISCOVER [2] SPORT</t>
  </si>
  <si>
    <t>XCD</t>
  </si>
  <si>
    <t>PULSAR UG</t>
  </si>
  <si>
    <t>BOXER BM CLASSIC [1]</t>
  </si>
  <si>
    <t>DISCOVER [2]</t>
  </si>
  <si>
    <t>PLATINO 125 5S</t>
  </si>
  <si>
    <t>PULSAR 220 F</t>
  </si>
  <si>
    <t>MT 220CC</t>
  </si>
  <si>
    <t>PULSAR 135 LS</t>
  </si>
  <si>
    <t>PULSAR 220 SPORT</t>
  </si>
  <si>
    <t>BOXER BM</t>
  </si>
  <si>
    <t>BOXER BM CLASSIC [2]</t>
  </si>
  <si>
    <t>DISCOVER [3] 125 ST</t>
  </si>
  <si>
    <t>PULSAR 200 NS</t>
  </si>
  <si>
    <t>AVENGER 220</t>
  </si>
  <si>
    <t>DISCOVER 100M</t>
  </si>
  <si>
    <t>PULSAR 220 SS</t>
  </si>
  <si>
    <t>DISCOVER [3] 150 ST</t>
  </si>
  <si>
    <t>PULSAR UG PRO</t>
  </si>
  <si>
    <t>DISCOVER 150F</t>
  </si>
  <si>
    <t>PLATINO 110</t>
  </si>
  <si>
    <t>PULSAR 150 NS</t>
  </si>
  <si>
    <t>PULSAR AS 200</t>
  </si>
  <si>
    <t>PULSAR RS 200</t>
  </si>
  <si>
    <t>PULSAR AS 150</t>
  </si>
  <si>
    <t>PULSAR SPEED</t>
  </si>
  <si>
    <t>PULSAR 150</t>
  </si>
  <si>
    <t>PICK-UP VAN</t>
  </si>
  <si>
    <t>CAMELLITO</t>
  </si>
  <si>
    <t>RE205 D C. ESPECIAL</t>
  </si>
  <si>
    <t>MT 199CC</t>
  </si>
  <si>
    <t>RE205 D WILLIS</t>
  </si>
  <si>
    <t>RE205 D BASICO</t>
  </si>
  <si>
    <t>RE205 D FURGON</t>
  </si>
  <si>
    <t>TORITO</t>
  </si>
  <si>
    <t>WAVE [2]</t>
  </si>
  <si>
    <t>ELITE +</t>
  </si>
  <si>
    <t>250R STD</t>
  </si>
  <si>
    <t>150L</t>
  </si>
  <si>
    <t>CLICK</t>
  </si>
  <si>
    <t>125I</t>
  </si>
  <si>
    <t>DREAM</t>
  </si>
  <si>
    <t>NEO</t>
  </si>
  <si>
    <t>DIO</t>
  </si>
  <si>
    <t>XRE</t>
  </si>
  <si>
    <t>190</t>
  </si>
  <si>
    <t>TRICITY</t>
  </si>
  <si>
    <t>MARCA</t>
  </si>
  <si>
    <t>ASISTENCIA</t>
  </si>
  <si>
    <t>CUADRO</t>
  </si>
  <si>
    <t>CUADRO TASA</t>
  </si>
  <si>
    <t>CRYPTON</t>
  </si>
  <si>
    <t>BWS y NMAX</t>
  </si>
  <si>
    <t>FINO</t>
  </si>
  <si>
    <t>LIBERO y YBR</t>
  </si>
  <si>
    <t>SZ R 150CC</t>
  </si>
  <si>
    <t xml:space="preserve">FZ </t>
  </si>
  <si>
    <t>YZF</t>
  </si>
  <si>
    <t>FAZER 250CC</t>
  </si>
  <si>
    <t>XTZ 125CC</t>
  </si>
  <si>
    <t>XTZ 250CC</t>
  </si>
  <si>
    <t>YZF (R3)</t>
  </si>
  <si>
    <t>Motocarros</t>
  </si>
  <si>
    <t>MOTOCICLETAS RESTO</t>
  </si>
  <si>
    <t>MOTOCARROS RESTO</t>
  </si>
  <si>
    <t>LÍNEA YAMAHA</t>
  </si>
  <si>
    <t>CLASE</t>
  </si>
  <si>
    <t>PROPUESTA</t>
  </si>
  <si>
    <t>ANTIGÜEDAD</t>
  </si>
  <si>
    <t>CUADRO/CLASE</t>
  </si>
  <si>
    <t>00317030</t>
  </si>
  <si>
    <t>00317071</t>
  </si>
  <si>
    <t>00317072</t>
  </si>
  <si>
    <t>00319002</t>
  </si>
  <si>
    <t>00319003</t>
  </si>
  <si>
    <t>00319005</t>
  </si>
  <si>
    <t>00319006</t>
  </si>
  <si>
    <t>00319007</t>
  </si>
  <si>
    <t>00319008</t>
  </si>
  <si>
    <t>00319009</t>
  </si>
  <si>
    <t>00319010</t>
  </si>
  <si>
    <t>00319011</t>
  </si>
  <si>
    <t>00319012</t>
  </si>
  <si>
    <t>00319013</t>
  </si>
  <si>
    <t>04517025</t>
  </si>
  <si>
    <t>04517073</t>
  </si>
  <si>
    <t>04517142</t>
  </si>
  <si>
    <t>10117025</t>
  </si>
  <si>
    <t>10117026</t>
  </si>
  <si>
    <t>17417005</t>
  </si>
  <si>
    <t>17417059</t>
  </si>
  <si>
    <t>39617004</t>
  </si>
  <si>
    <t>ONE</t>
  </si>
  <si>
    <t>MRX</t>
  </si>
  <si>
    <t>ADVANCE</t>
  </si>
  <si>
    <t>DOMINAR 400</t>
  </si>
  <si>
    <t>MT 400CC</t>
  </si>
  <si>
    <t>CALIBER II 115</t>
  </si>
  <si>
    <t>MT 115CC</t>
  </si>
  <si>
    <t>PULSAR 160 NS</t>
  </si>
  <si>
    <t>PULSAR 200 NS FI</t>
  </si>
  <si>
    <t>175</t>
  </si>
  <si>
    <t>MT 175CC</t>
  </si>
  <si>
    <t>FURGON [ASL]</t>
  </si>
  <si>
    <t>FURGON</t>
  </si>
  <si>
    <t>WILLYS</t>
  </si>
  <si>
    <t>CHIVA</t>
  </si>
  <si>
    <t>CHASIS</t>
  </si>
  <si>
    <t>ESTACAS</t>
  </si>
  <si>
    <t>ESTACAS ALUMINIO</t>
  </si>
  <si>
    <t>FURGON ALUMINIO</t>
  </si>
  <si>
    <t>REPARTO</t>
  </si>
  <si>
    <t>00317071 AUTECO BAJAJ PULSAR 160 NS MT 160CC</t>
  </si>
  <si>
    <t>V201801</t>
  </si>
  <si>
    <t xml:space="preserve">              SIMULADOR CRÉDITO</t>
  </si>
  <si>
    <t>Fecha simulación:</t>
  </si>
  <si>
    <t>*Ingresar el valor que desea financiar de la moto + accesorios +papeles</t>
  </si>
  <si>
    <t>Valor Moto *</t>
  </si>
  <si>
    <t>Valor Fondo</t>
  </si>
  <si>
    <t>Cupo Acordado</t>
  </si>
  <si>
    <t>Valor a Financiar**</t>
  </si>
  <si>
    <t>**Este es el valor que debes ingresar en SUFI YA</t>
  </si>
  <si>
    <t>Plazo Estimado</t>
  </si>
  <si>
    <t>Tasa Variable del Cliente MV</t>
  </si>
  <si>
    <t>Tasa Variable del Cliente EA</t>
  </si>
  <si>
    <t>Valor Seguro de Moto</t>
  </si>
  <si>
    <t>Seguro de Vida Integral (Aprox)</t>
  </si>
  <si>
    <t>Valor Fondo Mensual</t>
  </si>
  <si>
    <t>CUOTAS MENSUALES</t>
  </si>
  <si>
    <t/>
  </si>
  <si>
    <t>Incluye Seguro de Vida Integral, Póliza de moto y Fondo de Garantias</t>
  </si>
  <si>
    <t>Valor total del FNG:</t>
  </si>
  <si>
    <t>SIMULADOR CRÉDITO</t>
  </si>
  <si>
    <t>Cupo Aprobado*</t>
  </si>
  <si>
    <r>
      <rPr>
        <sz val="12"/>
        <color indexed="62"/>
        <rFont val="Trebuchet MS"/>
        <family val="2"/>
      </rPr>
      <t>*</t>
    </r>
    <r>
      <rPr>
        <sz val="10"/>
        <color indexed="62"/>
        <rFont val="Trebuchet MS"/>
        <family val="2"/>
      </rPr>
      <t>Ingresa el valor aprobado por la herramienta</t>
    </r>
  </si>
  <si>
    <t>Cupo Acordado**</t>
  </si>
  <si>
    <r>
      <rPr>
        <sz val="12"/>
        <color indexed="62"/>
        <rFont val="Calibri"/>
        <family val="2"/>
      </rPr>
      <t>**</t>
    </r>
    <r>
      <rPr>
        <sz val="11"/>
        <color indexed="62"/>
        <rFont val="Calibri"/>
        <family val="2"/>
      </rPr>
      <t>este valor debe ser menor que el valor aprobado y mayor al valor a financiar</t>
    </r>
  </si>
  <si>
    <t>Valor solicitado***</t>
  </si>
  <si>
    <r>
      <rPr>
        <sz val="12"/>
        <color indexed="62"/>
        <rFont val="Trebuchet MS"/>
        <family val="2"/>
      </rPr>
      <t>***</t>
    </r>
    <r>
      <rPr>
        <sz val="10"/>
        <color indexed="62"/>
        <rFont val="Trebuchet MS"/>
        <family val="2"/>
      </rPr>
      <t>Ingrese el valor Solicitado (valor del producto).</t>
    </r>
  </si>
  <si>
    <r>
      <rPr>
        <sz val="12"/>
        <color indexed="62"/>
        <rFont val="Trebuchet MS"/>
        <family val="2"/>
      </rPr>
      <t xml:space="preserve">   ****</t>
    </r>
    <r>
      <rPr>
        <sz val="9"/>
        <color indexed="62"/>
        <rFont val="Trebuchet MS"/>
        <family val="2"/>
      </rPr>
      <t xml:space="preserve"> este será el valor calculado por SUFI YA, el valor de sufi YA d</t>
    </r>
    <r>
      <rPr>
        <b/>
        <sz val="9"/>
        <color indexed="62"/>
        <rFont val="Trebuchet MS"/>
        <family val="2"/>
      </rPr>
      <t xml:space="preserve">ebe diligenciarse en el campo:  "valor fondo de garantías" </t>
    </r>
    <r>
      <rPr>
        <sz val="9"/>
        <color indexed="62"/>
        <rFont val="Trebuchet MS"/>
        <family val="2"/>
      </rPr>
      <t>de la solicitud de desembolso</t>
    </r>
  </si>
  <si>
    <t>Valor Fondo****</t>
  </si>
  <si>
    <r>
      <t xml:space="preserve">  </t>
    </r>
    <r>
      <rPr>
        <sz val="12"/>
        <color indexed="62"/>
        <rFont val="Trebuchet MS"/>
        <family val="2"/>
      </rPr>
      <t>*****</t>
    </r>
    <r>
      <rPr>
        <sz val="9"/>
        <color indexed="62"/>
        <rFont val="Trebuchet MS"/>
        <family val="2"/>
      </rPr>
      <t xml:space="preserve">este es el valor que se ingresa en el campo de sufi Ya  "Valor utilización producto", con este valor se </t>
    </r>
    <r>
      <rPr>
        <b/>
        <sz val="9"/>
        <color indexed="62"/>
        <rFont val="Trebuchet MS"/>
        <family val="2"/>
      </rPr>
      <t>diligencia el campo "valor utilización"</t>
    </r>
    <r>
      <rPr>
        <sz val="9"/>
        <color indexed="62"/>
        <rFont val="Trebuchet MS"/>
        <family val="2"/>
      </rPr>
      <t xml:space="preserve"> en la solicitud de desembolso</t>
    </r>
  </si>
  <si>
    <t>Valor Utilizacion Producto*****</t>
  </si>
  <si>
    <t>Valor a Financiar******</t>
  </si>
  <si>
    <t xml:space="preserve">    ******Este es el valor total que financiará el cliente "monto a utilizar"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</si>
</sst>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171" formatCode="_ * #,##0.00_ ;_ * \-#,##0.00_ ;_ * &quot;-&quot;??_ ;_ @_ "/>
    <numFmt numFmtId="178" formatCode="_-* #,##0.00\ [$€-1]_-;\-* #,##0.00\ [$€-1]_-;_-* &quot;-&quot;??\ [$€-1]_-"/>
    <numFmt numFmtId="179" formatCode="&quot;$&quot;\ #,##0"/>
    <numFmt numFmtId="194" formatCode="0.000"/>
    <numFmt numFmtId="195" formatCode="0.000000"/>
  </numFmts>
  <fonts count="66" x14ac:knownFonts="1">
    <font>
      <sz val="10"/>
      <name val="Arial"/>
    </font>
    <font>
      <sz val="10"/>
      <name val="Arial"/>
    </font>
    <font>
      <sz val="8"/>
      <name val="Arial"/>
      <family val="2"/>
    </font>
    <font>
      <sz val="10"/>
      <name val="Arial"/>
      <family val="2"/>
    </font>
    <font>
      <sz val="9"/>
      <name val="Arial"/>
      <family val="2"/>
    </font>
    <font>
      <b/>
      <sz val="10"/>
      <name val="Arial"/>
      <family val="2"/>
    </font>
    <font>
      <b/>
      <sz val="18"/>
      <color indexed="63"/>
      <name val="Calibri"/>
      <family val="2"/>
    </font>
    <font>
      <sz val="16"/>
      <name val="Calibri"/>
      <family val="2"/>
    </font>
    <font>
      <sz val="11"/>
      <name val="Calibri"/>
      <family val="2"/>
    </font>
    <font>
      <b/>
      <sz val="11"/>
      <name val="Calibri"/>
      <family val="2"/>
    </font>
    <font>
      <sz val="9"/>
      <name val="Calibri"/>
      <family val="2"/>
    </font>
    <font>
      <b/>
      <sz val="14"/>
      <name val="Calibri"/>
      <family val="2"/>
    </font>
    <font>
      <b/>
      <sz val="10"/>
      <color indexed="8"/>
      <name val="Calibri"/>
      <family val="2"/>
    </font>
    <font>
      <b/>
      <sz val="9"/>
      <name val="Calibri"/>
      <family val="2"/>
    </font>
    <font>
      <sz val="10"/>
      <color indexed="8"/>
      <name val="Calibri"/>
      <family val="2"/>
    </font>
    <font>
      <sz val="10"/>
      <name val="Calibri"/>
      <family val="2"/>
    </font>
    <font>
      <b/>
      <sz val="16"/>
      <name val="Calibri"/>
      <family val="2"/>
    </font>
    <font>
      <sz val="10"/>
      <color indexed="10"/>
      <name val="Calibri"/>
      <family val="2"/>
    </font>
    <font>
      <b/>
      <sz val="16"/>
      <color indexed="8"/>
      <name val="Calibri"/>
      <family val="2"/>
    </font>
    <font>
      <b/>
      <sz val="10"/>
      <color indexed="10"/>
      <name val="Calibri"/>
      <family val="2"/>
    </font>
    <font>
      <b/>
      <sz val="10"/>
      <name val="Calibri"/>
      <family val="2"/>
    </font>
    <font>
      <sz val="9"/>
      <color indexed="81"/>
      <name val="Tahoma"/>
      <charset val="1"/>
    </font>
    <font>
      <b/>
      <sz val="9"/>
      <color indexed="81"/>
      <name val="Tahoma"/>
      <charset val="1"/>
    </font>
    <font>
      <sz val="11"/>
      <color indexed="62"/>
      <name val="Calibri"/>
      <family val="2"/>
    </font>
    <font>
      <sz val="12"/>
      <name val="Trebuchet MS"/>
      <family val="2"/>
    </font>
    <font>
      <b/>
      <sz val="11"/>
      <name val="Trebuchet MS"/>
      <family val="2"/>
    </font>
    <font>
      <sz val="9"/>
      <name val="Trebuchet MS"/>
      <family val="2"/>
    </font>
    <font>
      <b/>
      <sz val="9"/>
      <name val="Trebuchet MS"/>
      <family val="2"/>
    </font>
    <font>
      <sz val="12"/>
      <color indexed="62"/>
      <name val="Trebuchet MS"/>
      <family val="2"/>
    </font>
    <font>
      <sz val="10"/>
      <color indexed="62"/>
      <name val="Trebuchet MS"/>
      <family val="2"/>
    </font>
    <font>
      <sz val="12"/>
      <color indexed="62"/>
      <name val="Calibri"/>
      <family val="2"/>
    </font>
    <font>
      <sz val="9"/>
      <color indexed="62"/>
      <name val="Trebuchet MS"/>
      <family val="2"/>
    </font>
    <font>
      <b/>
      <sz val="9"/>
      <color indexed="62"/>
      <name val="Trebuchet MS"/>
      <family val="2"/>
    </font>
    <font>
      <b/>
      <sz val="12"/>
      <name val="Trebuchet MS"/>
      <family val="2"/>
    </font>
    <font>
      <sz val="11"/>
      <color theme="1"/>
      <name val="Calibri"/>
      <family val="2"/>
      <scheme val="minor"/>
    </font>
    <font>
      <sz val="11"/>
      <color theme="0"/>
      <name val="Calibri"/>
      <family val="2"/>
      <scheme val="minor"/>
    </font>
    <font>
      <b/>
      <sz val="11"/>
      <color theme="0"/>
      <name val="Calibri"/>
      <family val="2"/>
      <scheme val="minor"/>
    </font>
    <font>
      <b/>
      <sz val="11"/>
      <color theme="3"/>
      <name val="Calibri"/>
      <family val="2"/>
      <scheme val="minor"/>
    </font>
    <font>
      <b/>
      <sz val="10"/>
      <name val="Calibri"/>
      <family val="2"/>
      <scheme val="minor"/>
    </font>
    <font>
      <b/>
      <sz val="14"/>
      <color rgb="FF000000"/>
      <name val="Calibri"/>
      <family val="2"/>
    </font>
    <font>
      <b/>
      <sz val="11"/>
      <color rgb="FF000000"/>
      <name val="Calibri"/>
      <family val="2"/>
    </font>
    <font>
      <sz val="11"/>
      <color rgb="FF000000"/>
      <name val="Calibri"/>
      <family val="2"/>
    </font>
    <font>
      <b/>
      <sz val="10"/>
      <color rgb="FFFF0000"/>
      <name val="Arial"/>
      <family val="2"/>
    </font>
    <font>
      <sz val="10"/>
      <name val="Calibri"/>
      <family val="2"/>
      <scheme val="minor"/>
    </font>
    <font>
      <sz val="10"/>
      <color theme="0"/>
      <name val="Calibri"/>
      <family val="2"/>
    </font>
    <font>
      <sz val="10"/>
      <color rgb="FFFF0000"/>
      <name val="Calibri"/>
      <family val="2"/>
    </font>
    <font>
      <b/>
      <sz val="16"/>
      <color rgb="FFFF0000"/>
      <name val="Calibri"/>
      <family val="2"/>
    </font>
    <font>
      <b/>
      <sz val="15"/>
      <color theme="4" tint="-0.249977111117893"/>
      <name val="Trebuchet MS"/>
      <family val="2"/>
    </font>
    <font>
      <sz val="10"/>
      <color theme="4"/>
      <name val="Trebuchet MS"/>
      <family val="2"/>
    </font>
    <font>
      <sz val="12"/>
      <color rgb="FF0070C0"/>
      <name val="Trebuchet MS"/>
      <family val="2"/>
    </font>
    <font>
      <sz val="12"/>
      <color theme="1"/>
      <name val="Trebuchet MS"/>
      <family val="2"/>
    </font>
    <font>
      <sz val="11"/>
      <color rgb="FF0070C0"/>
      <name val="Trebuchet MS"/>
      <family val="2"/>
    </font>
    <font>
      <sz val="12"/>
      <color rgb="FFFF0000"/>
      <name val="Trebuchet MS"/>
      <family val="2"/>
    </font>
    <font>
      <sz val="15"/>
      <color theme="1"/>
      <name val="Calibri"/>
      <family val="2"/>
      <scheme val="minor"/>
    </font>
    <font>
      <b/>
      <sz val="11"/>
      <color theme="1"/>
      <name val="Trebuchet MS"/>
      <family val="2"/>
    </font>
    <font>
      <sz val="9"/>
      <color theme="1"/>
      <name val="Trebuchet MS"/>
      <family val="2"/>
    </font>
    <font>
      <b/>
      <sz val="9"/>
      <color rgb="FFFF0000"/>
      <name val="Trebuchet MS"/>
      <family val="2"/>
    </font>
    <font>
      <sz val="8"/>
      <color theme="1"/>
      <name val="Trebuchet MS"/>
      <family val="2"/>
    </font>
    <font>
      <b/>
      <sz val="9"/>
      <color theme="1"/>
      <name val="Trebuchet MS"/>
      <family val="2"/>
    </font>
    <font>
      <sz val="10"/>
      <color theme="9" tint="-0.249977111117893"/>
      <name val="Trebuchet MS"/>
      <family val="2"/>
    </font>
    <font>
      <sz val="10"/>
      <color rgb="FF0070C0"/>
      <name val="Trebuchet MS"/>
      <family val="2"/>
    </font>
    <font>
      <sz val="11"/>
      <color theme="4"/>
      <name val="Calibri"/>
      <family val="2"/>
      <scheme val="minor"/>
    </font>
    <font>
      <sz val="11"/>
      <color theme="1"/>
      <name val="Trebuchet MS"/>
      <family val="2"/>
    </font>
    <font>
      <sz val="10"/>
      <color rgb="FFFF0000"/>
      <name val="Trebuchet MS"/>
      <family val="2"/>
    </font>
    <font>
      <sz val="9"/>
      <color theme="4"/>
      <name val="Trebuchet MS"/>
      <family val="2"/>
    </font>
    <font>
      <b/>
      <sz val="12"/>
      <color theme="1"/>
      <name val="Trebuchet MS"/>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DBDBDB"/>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double">
        <color indexed="64"/>
      </right>
      <top/>
      <bottom/>
      <diagonal/>
    </border>
    <border>
      <left/>
      <right/>
      <top/>
      <bottom style="medium">
        <color theme="4" tint="0.39997558519241921"/>
      </bottom>
      <diagonal/>
    </border>
    <border>
      <left style="thin">
        <color rgb="FFABABAB"/>
      </left>
      <right/>
      <top style="thin">
        <color rgb="FFABABAB"/>
      </top>
      <bottom/>
      <diagonal/>
    </border>
    <border>
      <left style="thin">
        <color rgb="FFABABAB"/>
      </left>
      <right/>
      <top/>
      <bottom/>
      <diagonal/>
    </border>
    <border>
      <left/>
      <right/>
      <top style="medium">
        <color theme="4" tint="0.39997558519241921"/>
      </top>
      <bottom style="medium">
        <color theme="4" tint="0.39997558519241921"/>
      </bottom>
      <diagonal/>
    </border>
  </borders>
  <cellStyleXfs count="14">
    <xf numFmtId="0" fontId="0" fillId="0" borderId="0"/>
    <xf numFmtId="0" fontId="1" fillId="0" borderId="0" applyNumberFormat="0" applyFill="0" applyBorder="0" applyAlignment="0" applyProtection="0"/>
    <xf numFmtId="178" fontId="1" fillId="0" borderId="0" applyFont="0" applyFill="0" applyBorder="0" applyAlignment="0" applyProtection="0"/>
    <xf numFmtId="171" fontId="3" fillId="0" borderId="0" applyFont="0" applyFill="0" applyBorder="0" applyAlignment="0" applyProtection="0"/>
    <xf numFmtId="0" fontId="3" fillId="0" borderId="0" applyNumberFormat="0" applyFill="0" applyBorder="0" applyAlignment="0" applyProtection="0"/>
    <xf numFmtId="0" fontId="34" fillId="0" borderId="0"/>
    <xf numFmtId="0" fontId="3" fillId="0" borderId="0"/>
    <xf numFmtId="0" fontId="34" fillId="0" borderId="0"/>
    <xf numFmtId="0" fontId="34"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37" fillId="0" borderId="19" applyNumberFormat="0" applyFill="0" applyAlignment="0" applyProtection="0"/>
  </cellStyleXfs>
  <cellXfs count="242">
    <xf numFmtId="0" fontId="0" fillId="0" borderId="0" xfId="0"/>
    <xf numFmtId="0" fontId="5" fillId="0" borderId="0" xfId="0" applyFont="1"/>
    <xf numFmtId="49" fontId="0" fillId="0" borderId="0" xfId="0" applyNumberFormat="1"/>
    <xf numFmtId="0" fontId="3" fillId="2" borderId="0" xfId="4" applyFill="1"/>
    <xf numFmtId="0" fontId="3" fillId="3" borderId="0" xfId="4" applyFill="1"/>
    <xf numFmtId="0" fontId="2" fillId="3" borderId="0" xfId="4" applyFont="1" applyFill="1"/>
    <xf numFmtId="0" fontId="8" fillId="3" borderId="0" xfId="4" applyFont="1" applyFill="1"/>
    <xf numFmtId="0" fontId="8" fillId="3" borderId="0" xfId="4" applyFont="1" applyFill="1" applyAlignment="1">
      <alignment horizontal="center"/>
    </xf>
    <xf numFmtId="0" fontId="8" fillId="2" borderId="0" xfId="4" applyFont="1" applyFill="1"/>
    <xf numFmtId="0" fontId="8" fillId="3" borderId="0" xfId="4" applyFont="1" applyFill="1" applyBorder="1"/>
    <xf numFmtId="0" fontId="18" fillId="0" borderId="0" xfId="4" applyFont="1" applyAlignment="1">
      <alignment vertical="top"/>
    </xf>
    <xf numFmtId="0" fontId="10" fillId="3" borderId="0" xfId="4" applyFont="1" applyFill="1" applyAlignment="1">
      <alignment vertical="justify" wrapText="1"/>
    </xf>
    <xf numFmtId="0" fontId="34" fillId="4" borderId="0" xfId="8" applyFill="1" applyBorder="1"/>
    <xf numFmtId="0" fontId="34" fillId="4" borderId="0" xfId="8" applyFill="1" applyBorder="1" applyAlignment="1">
      <alignment horizontal="center"/>
    </xf>
    <xf numFmtId="0" fontId="37" fillId="4" borderId="19" xfId="13" applyFill="1"/>
    <xf numFmtId="0" fontId="37" fillId="4" borderId="19" xfId="13" applyFill="1" applyAlignment="1">
      <alignment horizontal="center"/>
    </xf>
    <xf numFmtId="0" fontId="37" fillId="4" borderId="19" xfId="13" applyFill="1" applyAlignment="1" applyProtection="1">
      <alignment horizontal="center"/>
      <protection locked="0"/>
    </xf>
    <xf numFmtId="14" fontId="34" fillId="4" borderId="0" xfId="8" applyNumberFormat="1" applyFill="1" applyBorder="1"/>
    <xf numFmtId="0" fontId="38" fillId="3" borderId="0" xfId="4" applyFont="1" applyFill="1" applyAlignment="1">
      <alignment vertical="top"/>
    </xf>
    <xf numFmtId="0" fontId="4" fillId="3" borderId="0" xfId="4" applyFont="1" applyFill="1"/>
    <xf numFmtId="0" fontId="39" fillId="5" borderId="1" xfId="0" applyFont="1" applyFill="1" applyBorder="1" applyAlignment="1">
      <alignment horizontal="center" vertical="center"/>
    </xf>
    <xf numFmtId="0" fontId="39" fillId="5" borderId="1" xfId="0" applyFont="1" applyFill="1" applyBorder="1" applyAlignment="1">
      <alignment horizontal="center" vertical="center" wrapText="1"/>
    </xf>
    <xf numFmtId="0" fontId="40" fillId="0" borderId="1" xfId="0" applyFont="1" applyBorder="1" applyAlignment="1">
      <alignment horizontal="center" vertical="center"/>
    </xf>
    <xf numFmtId="10" fontId="41" fillId="0" borderId="1" xfId="0" applyNumberFormat="1" applyFont="1" applyBorder="1" applyAlignment="1">
      <alignment horizontal="center" vertical="center"/>
    </xf>
    <xf numFmtId="3" fontId="41" fillId="0" borderId="1" xfId="0" applyNumberFormat="1" applyFont="1" applyBorder="1" applyAlignment="1">
      <alignment horizontal="center" vertical="center"/>
    </xf>
    <xf numFmtId="3" fontId="37" fillId="4" borderId="19" xfId="13" applyNumberFormat="1" applyFill="1" applyAlignment="1" applyProtection="1">
      <alignment horizontal="center"/>
      <protection locked="0"/>
    </xf>
    <xf numFmtId="179" fontId="37" fillId="4" borderId="19" xfId="13" applyNumberFormat="1" applyFill="1" applyAlignment="1" applyProtection="1">
      <alignment horizontal="center"/>
      <protection locked="0"/>
    </xf>
    <xf numFmtId="0" fontId="37" fillId="4" borderId="19" xfId="13" applyFill="1" applyAlignment="1"/>
    <xf numFmtId="0" fontId="15" fillId="3" borderId="0" xfId="4" applyFont="1" applyFill="1" applyAlignment="1"/>
    <xf numFmtId="10" fontId="34" fillId="4" borderId="0" xfId="11" applyNumberFormat="1" applyFont="1" applyFill="1" applyBorder="1"/>
    <xf numFmtId="0" fontId="34" fillId="6" borderId="0" xfId="8" applyFill="1" applyBorder="1"/>
    <xf numFmtId="0" fontId="34" fillId="4" borderId="0" xfId="8" applyFill="1" applyBorder="1" applyAlignment="1">
      <alignment horizontal="left"/>
    </xf>
    <xf numFmtId="10" fontId="41" fillId="0" borderId="0" xfId="0" applyNumberFormat="1" applyFont="1" applyBorder="1" applyAlignment="1">
      <alignment horizontal="center" vertical="center"/>
    </xf>
    <xf numFmtId="0" fontId="40" fillId="0" borderId="0" xfId="0" applyFont="1" applyFill="1" applyBorder="1" applyAlignment="1">
      <alignment horizontal="center" vertical="center"/>
    </xf>
    <xf numFmtId="10" fontId="0" fillId="0" borderId="0" xfId="10" applyNumberFormat="1" applyFont="1"/>
    <xf numFmtId="10" fontId="0" fillId="0" borderId="0" xfId="0" applyNumberFormat="1"/>
    <xf numFmtId="0" fontId="37" fillId="4" borderId="19" xfId="13" applyFill="1" applyAlignment="1" applyProtection="1">
      <alignment horizontal="center"/>
    </xf>
    <xf numFmtId="0" fontId="37" fillId="4" borderId="19" xfId="13" applyFill="1" applyProtection="1"/>
    <xf numFmtId="0" fontId="37" fillId="4" borderId="19" xfId="13" applyFill="1" applyAlignment="1" applyProtection="1"/>
    <xf numFmtId="0" fontId="34" fillId="4" borderId="0" xfId="8" applyFont="1" applyFill="1" applyBorder="1"/>
    <xf numFmtId="0" fontId="0" fillId="0" borderId="0" xfId="0" applyNumberFormat="1"/>
    <xf numFmtId="194" fontId="0" fillId="0" borderId="0" xfId="0" applyNumberFormat="1"/>
    <xf numFmtId="10" fontId="0" fillId="0" borderId="1" xfId="10" applyNumberFormat="1" applyFont="1" applyBorder="1" applyAlignment="1">
      <alignment horizontal="center"/>
    </xf>
    <xf numFmtId="0" fontId="0" fillId="0" borderId="20" xfId="0" applyBorder="1"/>
    <xf numFmtId="0" fontId="0" fillId="0" borderId="21" xfId="0" applyBorder="1"/>
    <xf numFmtId="0" fontId="40" fillId="0" borderId="0" xfId="0" applyFont="1" applyBorder="1" applyAlignment="1">
      <alignment horizontal="center" vertical="center"/>
    </xf>
    <xf numFmtId="0" fontId="34" fillId="4" borderId="1" xfId="8" applyFill="1" applyBorder="1"/>
    <xf numFmtId="0" fontId="34" fillId="4" borderId="0" xfId="8" applyFill="1" applyBorder="1" applyAlignment="1">
      <alignment horizontal="right"/>
    </xf>
    <xf numFmtId="10" fontId="34" fillId="4" borderId="0" xfId="10" applyNumberFormat="1" applyFont="1" applyFill="1" applyBorder="1" applyAlignment="1">
      <alignment horizontal="right"/>
    </xf>
    <xf numFmtId="179" fontId="34" fillId="4" borderId="0" xfId="8" applyNumberFormat="1" applyFill="1" applyBorder="1" applyAlignment="1">
      <alignment horizontal="right"/>
    </xf>
    <xf numFmtId="0" fontId="40" fillId="0" borderId="2" xfId="0" applyFont="1" applyFill="1" applyBorder="1" applyAlignment="1">
      <alignment horizontal="center" vertical="center"/>
    </xf>
    <xf numFmtId="10" fontId="0" fillId="0" borderId="0" xfId="0" applyNumberFormat="1" applyBorder="1" applyAlignment="1">
      <alignment horizontal="center"/>
    </xf>
    <xf numFmtId="0" fontId="34" fillId="4" borderId="1" xfId="8" applyFill="1" applyBorder="1" applyAlignment="1">
      <alignment horizontal="center"/>
    </xf>
    <xf numFmtId="0" fontId="0" fillId="0" borderId="3" xfId="0" applyBorder="1"/>
    <xf numFmtId="0" fontId="0" fillId="0" borderId="0" xfId="0" applyBorder="1"/>
    <xf numFmtId="0" fontId="0" fillId="0" borderId="4" xfId="0" applyBorder="1"/>
    <xf numFmtId="0" fontId="39" fillId="5" borderId="5"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0" xfId="0" applyFill="1" applyBorder="1" applyAlignment="1">
      <alignment horizontal="center"/>
    </xf>
    <xf numFmtId="49" fontId="34" fillId="4" borderId="0" xfId="8" applyNumberFormat="1" applyFill="1" applyBorder="1" applyAlignment="1" applyProtection="1">
      <alignment horizontal="right"/>
      <protection locked="0"/>
    </xf>
    <xf numFmtId="0" fontId="34" fillId="4" borderId="0" xfId="8" applyFill="1" applyBorder="1" applyAlignment="1" applyProtection="1">
      <alignment horizontal="right"/>
      <protection locked="0"/>
    </xf>
    <xf numFmtId="0" fontId="35" fillId="4" borderId="0" xfId="8" applyFont="1" applyFill="1" applyBorder="1" applyProtection="1">
      <protection locked="0"/>
    </xf>
    <xf numFmtId="0" fontId="3" fillId="0" borderId="0" xfId="0" applyFont="1"/>
    <xf numFmtId="0" fontId="34" fillId="0" borderId="0" xfId="5" applyProtection="1"/>
    <xf numFmtId="0" fontId="34" fillId="0" borderId="0" xfId="5" applyAlignment="1" applyProtection="1">
      <alignment horizontal="center" vertical="center"/>
    </xf>
    <xf numFmtId="0" fontId="34" fillId="0" borderId="0" xfId="5"/>
    <xf numFmtId="0" fontId="36" fillId="0" borderId="0" xfId="5" applyFont="1" applyFill="1" applyBorder="1" applyAlignment="1">
      <alignment horizontal="center"/>
    </xf>
    <xf numFmtId="0" fontId="34" fillId="0" borderId="13" xfId="5" applyBorder="1"/>
    <xf numFmtId="0" fontId="34" fillId="0" borderId="0" xfId="5" applyFill="1" applyBorder="1" applyAlignment="1">
      <alignment horizontal="center"/>
    </xf>
    <xf numFmtId="10" fontId="34" fillId="0" borderId="0" xfId="5" applyNumberFormat="1" applyFill="1" applyBorder="1" applyAlignment="1">
      <alignment horizontal="center"/>
    </xf>
    <xf numFmtId="0" fontId="34" fillId="0" borderId="0" xfId="5" applyBorder="1"/>
    <xf numFmtId="0" fontId="34" fillId="0" borderId="0" xfId="5" applyAlignment="1" applyProtection="1">
      <alignment horizontal="center"/>
    </xf>
    <xf numFmtId="14" fontId="34" fillId="0" borderId="0" xfId="5" applyNumberFormat="1" applyFill="1" applyBorder="1" applyAlignment="1">
      <alignment horizontal="left"/>
    </xf>
    <xf numFmtId="0" fontId="34" fillId="0" borderId="14" xfId="5" applyBorder="1"/>
    <xf numFmtId="0" fontId="24" fillId="0" borderId="15" xfId="7" applyFont="1" applyFill="1" applyBorder="1" applyAlignment="1" applyProtection="1">
      <alignment horizontal="left"/>
      <protection hidden="1"/>
    </xf>
    <xf numFmtId="0" fontId="34" fillId="0" borderId="15" xfId="5" applyBorder="1" applyProtection="1"/>
    <xf numFmtId="6" fontId="49" fillId="0" borderId="15" xfId="7" applyNumberFormat="1" applyFont="1" applyFill="1" applyBorder="1" applyAlignment="1" applyProtection="1">
      <alignment horizontal="center" vertical="center"/>
      <protection locked="0" hidden="1"/>
    </xf>
    <xf numFmtId="0" fontId="48" fillId="0" borderId="0" xfId="6" applyFont="1" applyProtection="1">
      <protection locked="0"/>
    </xf>
    <xf numFmtId="6" fontId="49" fillId="0" borderId="15" xfId="7" applyNumberFormat="1" applyFont="1" applyFill="1" applyBorder="1" applyAlignment="1" applyProtection="1">
      <alignment horizontal="center" vertical="center"/>
      <protection hidden="1"/>
    </xf>
    <xf numFmtId="6" fontId="50" fillId="0" borderId="15" xfId="7" applyNumberFormat="1" applyFont="1" applyFill="1" applyBorder="1" applyAlignment="1" applyProtection="1">
      <alignment horizontal="center" vertical="center"/>
      <protection hidden="1"/>
    </xf>
    <xf numFmtId="0" fontId="48" fillId="0" borderId="0" xfId="6" applyFont="1" applyAlignment="1" applyProtection="1">
      <alignment vertical="center" wrapText="1"/>
      <protection locked="0"/>
    </xf>
    <xf numFmtId="0" fontId="24" fillId="0" borderId="16" xfId="7" applyFont="1" applyFill="1" applyBorder="1" applyAlignment="1" applyProtection="1">
      <alignment horizontal="left"/>
      <protection hidden="1"/>
    </xf>
    <xf numFmtId="6" fontId="49" fillId="0" borderId="0" xfId="7" applyNumberFormat="1" applyFont="1" applyFill="1" applyBorder="1" applyAlignment="1" applyProtection="1">
      <alignment horizontal="center" vertical="center"/>
      <protection hidden="1"/>
    </xf>
    <xf numFmtId="0" fontId="48" fillId="0" borderId="0" xfId="6" applyFont="1" applyAlignment="1" applyProtection="1">
      <alignment horizontal="left"/>
      <protection locked="0"/>
    </xf>
    <xf numFmtId="0" fontId="49" fillId="0" borderId="15" xfId="7" applyFont="1" applyFill="1" applyBorder="1" applyAlignment="1" applyProtection="1">
      <alignment horizontal="center" vertical="center"/>
      <protection hidden="1"/>
    </xf>
    <xf numFmtId="0" fontId="49" fillId="0" borderId="15" xfId="7" applyFont="1" applyFill="1" applyBorder="1" applyAlignment="1" applyProtection="1">
      <alignment horizontal="center" vertical="center"/>
      <protection locked="0" hidden="1"/>
    </xf>
    <xf numFmtId="10" fontId="24" fillId="0" borderId="15" xfId="7" applyNumberFormat="1" applyFont="1" applyFill="1" applyBorder="1" applyAlignment="1" applyProtection="1">
      <alignment horizontal="center" vertical="center"/>
      <protection hidden="1"/>
    </xf>
    <xf numFmtId="0" fontId="24" fillId="0" borderId="15" xfId="7" applyFont="1" applyFill="1" applyBorder="1" applyAlignment="1" applyProtection="1">
      <alignment horizontal="left" vertical="center"/>
      <protection hidden="1"/>
    </xf>
    <xf numFmtId="0" fontId="51" fillId="0" borderId="0" xfId="7" applyFont="1" applyFill="1" applyBorder="1" applyAlignment="1" applyProtection="1">
      <alignment horizontal="center"/>
      <protection hidden="1"/>
    </xf>
    <xf numFmtId="6" fontId="49" fillId="0" borderId="17" xfId="7" applyNumberFormat="1" applyFont="1" applyFill="1" applyBorder="1" applyAlignment="1" applyProtection="1">
      <alignment horizontal="center" vertical="center"/>
      <protection hidden="1"/>
    </xf>
    <xf numFmtId="179" fontId="24" fillId="0" borderId="15" xfId="7" applyNumberFormat="1" applyFont="1" applyFill="1" applyBorder="1" applyAlignment="1" applyProtection="1">
      <alignment horizontal="center" vertical="center"/>
      <protection hidden="1"/>
    </xf>
    <xf numFmtId="0" fontId="49" fillId="0" borderId="0" xfId="7" applyFont="1" applyFill="1" applyBorder="1" applyAlignment="1" applyProtection="1">
      <alignment horizontal="center" vertical="center"/>
      <protection hidden="1"/>
    </xf>
    <xf numFmtId="0" fontId="53" fillId="0" borderId="0" xfId="5" applyFont="1" applyAlignment="1" applyProtection="1">
      <alignment horizontal="center" vertical="center"/>
    </xf>
    <xf numFmtId="0" fontId="53" fillId="0" borderId="0" xfId="5" applyFont="1" applyProtection="1"/>
    <xf numFmtId="0" fontId="25" fillId="7" borderId="0" xfId="5" applyFont="1" applyFill="1" applyBorder="1" applyAlignment="1" applyProtection="1">
      <alignment horizontal="left" vertical="center"/>
      <protection hidden="1"/>
    </xf>
    <xf numFmtId="0" fontId="54" fillId="0" borderId="15" xfId="7" applyFont="1" applyFill="1" applyBorder="1" applyAlignment="1" applyProtection="1">
      <alignment horizontal="center"/>
      <protection hidden="1"/>
    </xf>
    <xf numFmtId="0" fontId="54" fillId="0" borderId="15" xfId="7" applyFont="1" applyFill="1" applyBorder="1" applyProtection="1">
      <protection hidden="1"/>
    </xf>
    <xf numFmtId="179" fontId="54" fillId="0" borderId="15" xfId="7" applyNumberFormat="1" applyFont="1" applyFill="1" applyBorder="1" applyAlignment="1" applyProtection="1">
      <alignment horizontal="center" vertical="center"/>
      <protection hidden="1"/>
    </xf>
    <xf numFmtId="179" fontId="54" fillId="0" borderId="0" xfId="7" applyNumberFormat="1" applyFont="1" applyFill="1" applyBorder="1" applyAlignment="1" applyProtection="1">
      <alignment horizontal="center" vertical="center"/>
      <protection hidden="1"/>
    </xf>
    <xf numFmtId="0" fontId="55" fillId="0" borderId="0" xfId="5" applyFont="1" applyFill="1" applyBorder="1" applyProtection="1">
      <protection hidden="1"/>
    </xf>
    <xf numFmtId="195" fontId="26" fillId="0" borderId="0" xfId="9" applyNumberFormat="1" applyFont="1" applyFill="1" applyBorder="1" applyAlignment="1" applyProtection="1">
      <alignment horizontal="center" vertical="center"/>
      <protection hidden="1"/>
    </xf>
    <xf numFmtId="195" fontId="56" fillId="7" borderId="0" xfId="9" applyNumberFormat="1" applyFont="1" applyFill="1" applyBorder="1" applyAlignment="1" applyProtection="1">
      <alignment horizontal="left"/>
      <protection hidden="1"/>
    </xf>
    <xf numFmtId="195" fontId="26" fillId="7" borderId="0" xfId="9" applyNumberFormat="1" applyFont="1" applyFill="1" applyBorder="1" applyAlignment="1" applyProtection="1">
      <alignment horizontal="center"/>
      <protection hidden="1"/>
    </xf>
    <xf numFmtId="0" fontId="57" fillId="0" borderId="0" xfId="5" applyFont="1" applyFill="1" applyBorder="1" applyAlignment="1" applyProtection="1">
      <alignment horizontal="right"/>
      <protection hidden="1"/>
    </xf>
    <xf numFmtId="0" fontId="58" fillId="0" borderId="0" xfId="6" applyFont="1" applyBorder="1" applyAlignment="1" applyProtection="1">
      <alignment horizontal="center"/>
    </xf>
    <xf numFmtId="0" fontId="34" fillId="0" borderId="0" xfId="5" applyAlignment="1">
      <alignment horizontal="center" vertical="center"/>
    </xf>
    <xf numFmtId="179" fontId="27" fillId="8" borderId="0" xfId="6" applyNumberFormat="1" applyFont="1" applyFill="1" applyBorder="1" applyAlignment="1" applyProtection="1">
      <alignment horizontal="right" vertical="center" wrapText="1"/>
    </xf>
    <xf numFmtId="0" fontId="59" fillId="7" borderId="0" xfId="5" applyFont="1" applyFill="1" applyProtection="1">
      <protection hidden="1"/>
    </xf>
    <xf numFmtId="0" fontId="60" fillId="7" borderId="0" xfId="5" applyFont="1" applyFill="1" applyAlignment="1" applyProtection="1">
      <alignment horizontal="left"/>
      <protection hidden="1"/>
    </xf>
    <xf numFmtId="0" fontId="24" fillId="7" borderId="0" xfId="5" applyFont="1" applyFill="1" applyBorder="1" applyAlignment="1" applyProtection="1">
      <protection hidden="1"/>
    </xf>
    <xf numFmtId="0" fontId="24" fillId="7" borderId="0" xfId="5" applyFont="1" applyFill="1" applyBorder="1" applyAlignment="1" applyProtection="1">
      <alignment horizontal="center"/>
      <protection hidden="1"/>
    </xf>
    <xf numFmtId="0" fontId="24" fillId="7" borderId="0" xfId="5" applyFont="1" applyFill="1" applyBorder="1" applyAlignment="1" applyProtection="1">
      <alignment horizontal="left"/>
      <protection hidden="1"/>
    </xf>
    <xf numFmtId="0" fontId="50" fillId="7" borderId="18" xfId="5" applyFont="1" applyFill="1" applyBorder="1" applyProtection="1">
      <protection hidden="1"/>
    </xf>
    <xf numFmtId="0" fontId="55" fillId="7" borderId="18" xfId="5" applyFont="1" applyFill="1" applyBorder="1" applyProtection="1">
      <protection hidden="1"/>
    </xf>
    <xf numFmtId="0" fontId="50" fillId="7" borderId="0" xfId="5" applyFont="1" applyFill="1" applyBorder="1" applyProtection="1">
      <protection hidden="1"/>
    </xf>
    <xf numFmtId="0" fontId="47" fillId="0" borderId="0" xfId="5" applyFont="1" applyAlignment="1" applyProtection="1"/>
    <xf numFmtId="0" fontId="47" fillId="0" borderId="0" xfId="5" applyFont="1" applyBorder="1" applyAlignment="1" applyProtection="1"/>
    <xf numFmtId="0" fontId="34" fillId="0" borderId="0" xfId="5" applyAlignment="1" applyProtection="1">
      <alignment horizontal="right"/>
    </xf>
    <xf numFmtId="0" fontId="61" fillId="0" borderId="0" xfId="6" applyFont="1" applyProtection="1">
      <protection locked="0"/>
    </xf>
    <xf numFmtId="0" fontId="62" fillId="0" borderId="0" xfId="5" applyFont="1"/>
    <xf numFmtId="0" fontId="63" fillId="0" borderId="0" xfId="7" applyFont="1" applyFill="1" applyBorder="1" applyAlignment="1" applyProtection="1">
      <alignment vertical="center" wrapText="1"/>
      <protection hidden="1"/>
    </xf>
    <xf numFmtId="0" fontId="48" fillId="0" borderId="0" xfId="7" applyFont="1" applyFill="1" applyBorder="1" applyAlignment="1" applyProtection="1">
      <alignment vertical="center" wrapText="1"/>
      <protection hidden="1"/>
    </xf>
    <xf numFmtId="0" fontId="52" fillId="0" borderId="0" xfId="7" applyFont="1" applyFill="1" applyBorder="1" applyAlignment="1" applyProtection="1">
      <alignment vertical="center" wrapText="1"/>
      <protection hidden="1"/>
    </xf>
    <xf numFmtId="0" fontId="24" fillId="0" borderId="0" xfId="7" applyFont="1" applyFill="1" applyBorder="1" applyAlignment="1" applyProtection="1">
      <alignment horizontal="left"/>
      <protection hidden="1"/>
    </xf>
    <xf numFmtId="179" fontId="24" fillId="0" borderId="0" xfId="7" applyNumberFormat="1" applyFont="1" applyFill="1" applyBorder="1" applyAlignment="1" applyProtection="1">
      <alignment horizontal="center" vertical="center"/>
      <protection hidden="1"/>
    </xf>
    <xf numFmtId="0" fontId="64" fillId="0" borderId="0" xfId="6" applyFont="1" applyAlignment="1" applyProtection="1">
      <alignment vertical="center" wrapText="1"/>
      <protection locked="0"/>
    </xf>
    <xf numFmtId="0" fontId="33" fillId="0" borderId="15" xfId="7" applyFont="1" applyFill="1" applyBorder="1" applyAlignment="1" applyProtection="1">
      <alignment horizontal="left"/>
      <protection hidden="1"/>
    </xf>
    <xf numFmtId="6" fontId="65" fillId="0" borderId="15" xfId="7" applyNumberFormat="1" applyFont="1" applyFill="1" applyBorder="1" applyAlignment="1" applyProtection="1">
      <alignment horizontal="center" vertical="center"/>
      <protection hidden="1"/>
    </xf>
    <xf numFmtId="0" fontId="47" fillId="0" borderId="0" xfId="5" applyFont="1" applyAlignment="1" applyProtection="1">
      <alignment horizontal="right"/>
    </xf>
    <xf numFmtId="0" fontId="47" fillId="0" borderId="0" xfId="5" applyFont="1" applyBorder="1" applyAlignment="1" applyProtection="1">
      <alignment horizontal="right"/>
    </xf>
    <xf numFmtId="0" fontId="48" fillId="0" borderId="0" xfId="6" applyFont="1" applyAlignment="1" applyProtection="1">
      <alignment horizontal="center" vertical="center" wrapText="1"/>
      <protection locked="0"/>
    </xf>
    <xf numFmtId="0" fontId="52" fillId="0" borderId="0" xfId="7" applyFont="1" applyFill="1" applyBorder="1" applyAlignment="1" applyProtection="1">
      <alignment horizontal="center" vertical="center" wrapText="1"/>
      <protection hidden="1"/>
    </xf>
    <xf numFmtId="0" fontId="4" fillId="3" borderId="0" xfId="4" applyFont="1" applyFill="1" applyAlignment="1">
      <alignment horizontal="center"/>
    </xf>
    <xf numFmtId="0" fontId="43" fillId="3" borderId="0" xfId="4" applyFont="1" applyFill="1" applyAlignment="1">
      <alignment horizontal="justify" vertical="top"/>
    </xf>
    <xf numFmtId="0" fontId="43" fillId="3" borderId="0" xfId="0" applyFont="1" applyFill="1" applyAlignment="1">
      <alignment horizontal="justify" vertical="top" wrapText="1"/>
    </xf>
    <xf numFmtId="0" fontId="38" fillId="3" borderId="0" xfId="4" applyFont="1" applyFill="1" applyAlignment="1">
      <alignment horizontal="justify" vertical="top" wrapText="1"/>
    </xf>
    <xf numFmtId="0" fontId="14" fillId="0" borderId="0" xfId="4" applyFont="1" applyBorder="1" applyAlignment="1">
      <alignment horizontal="center" vertical="center"/>
    </xf>
    <xf numFmtId="0" fontId="3" fillId="3" borderId="0" xfId="4" applyFill="1" applyAlignment="1">
      <alignment horizontal="center"/>
    </xf>
    <xf numFmtId="0" fontId="14" fillId="0" borderId="0" xfId="4" applyFont="1" applyFill="1" applyAlignment="1">
      <alignment horizontal="center"/>
    </xf>
    <xf numFmtId="0" fontId="2" fillId="3" borderId="0" xfId="4" applyFont="1" applyFill="1" applyAlignment="1">
      <alignment horizontal="center"/>
    </xf>
    <xf numFmtId="0" fontId="9" fillId="3" borderId="0" xfId="4" applyFont="1" applyFill="1" applyAlignment="1">
      <alignment horizontal="left"/>
    </xf>
    <xf numFmtId="0" fontId="15" fillId="3" borderId="0" xfId="4" applyFont="1" applyFill="1" applyAlignment="1">
      <alignment horizontal="justify" vertical="top"/>
    </xf>
    <xf numFmtId="0" fontId="15" fillId="3" borderId="0" xfId="4" applyFont="1" applyFill="1" applyAlignment="1">
      <alignment horizontal="justify" vertical="justify" wrapText="1"/>
    </xf>
    <xf numFmtId="0" fontId="13" fillId="3" borderId="0" xfId="4" applyFont="1" applyFill="1" applyAlignment="1">
      <alignment horizontal="left" vertical="top" wrapText="1"/>
    </xf>
    <xf numFmtId="0" fontId="8" fillId="3" borderId="1" xfId="4" applyFont="1" applyFill="1" applyBorder="1" applyAlignment="1">
      <alignment horizontal="center" vertical="center"/>
    </xf>
    <xf numFmtId="0" fontId="15" fillId="3" borderId="0" xfId="4" applyFont="1" applyFill="1" applyAlignment="1">
      <alignment horizontal="justify" vertical="top" wrapText="1"/>
    </xf>
    <xf numFmtId="179" fontId="8" fillId="3" borderId="1" xfId="4" applyNumberFormat="1" applyFont="1" applyFill="1" applyBorder="1" applyAlignment="1">
      <alignment horizontal="center" vertical="center"/>
    </xf>
    <xf numFmtId="0" fontId="15" fillId="3" borderId="0" xfId="4" applyFont="1" applyFill="1" applyAlignment="1">
      <alignment horizontal="justify"/>
    </xf>
    <xf numFmtId="179" fontId="44" fillId="0" borderId="0" xfId="4" applyNumberFormat="1" applyFont="1" applyFill="1" applyBorder="1" applyAlignment="1">
      <alignment horizontal="center" vertical="center" wrapText="1"/>
    </xf>
    <xf numFmtId="0" fontId="15" fillId="3" borderId="0" xfId="4" applyFont="1" applyFill="1" applyBorder="1" applyAlignment="1">
      <alignment horizontal="center"/>
    </xf>
    <xf numFmtId="1" fontId="15" fillId="3" borderId="1" xfId="4" applyNumberFormat="1" applyFont="1" applyFill="1" applyBorder="1" applyAlignment="1">
      <alignment horizontal="center"/>
    </xf>
    <xf numFmtId="0" fontId="45" fillId="3" borderId="6" xfId="4" applyFont="1" applyFill="1" applyBorder="1" applyAlignment="1">
      <alignment horizontal="center" vertical="center"/>
    </xf>
    <xf numFmtId="0" fontId="45" fillId="3" borderId="3" xfId="4" applyFont="1" applyFill="1" applyBorder="1" applyAlignment="1">
      <alignment horizontal="center" vertical="center"/>
    </xf>
    <xf numFmtId="0" fontId="45" fillId="3" borderId="9" xfId="4" applyFont="1" applyFill="1" applyBorder="1" applyAlignment="1">
      <alignment horizontal="center" vertical="center"/>
    </xf>
    <xf numFmtId="0" fontId="45" fillId="3" borderId="8" xfId="4" applyFont="1" applyFill="1" applyBorder="1" applyAlignment="1">
      <alignment horizontal="center" vertical="center"/>
    </xf>
    <xf numFmtId="0" fontId="45" fillId="3" borderId="4" xfId="4" applyFont="1" applyFill="1" applyBorder="1" applyAlignment="1">
      <alignment horizontal="center" vertical="center"/>
    </xf>
    <xf numFmtId="0" fontId="45" fillId="3" borderId="11" xfId="4" applyFont="1" applyFill="1" applyBorder="1" applyAlignment="1">
      <alignment horizontal="center" vertical="center"/>
    </xf>
    <xf numFmtId="1" fontId="46" fillId="3" borderId="0" xfId="4" applyNumberFormat="1" applyFont="1" applyFill="1" applyAlignment="1">
      <alignment horizontal="center" vertical="top" wrapText="1"/>
    </xf>
    <xf numFmtId="179" fontId="9" fillId="3" borderId="0" xfId="4" applyNumberFormat="1" applyFont="1" applyFill="1" applyBorder="1" applyAlignment="1">
      <alignment horizontal="center"/>
    </xf>
    <xf numFmtId="0" fontId="19" fillId="2" borderId="1" xfId="4" applyFont="1" applyFill="1" applyBorder="1" applyAlignment="1">
      <alignment horizontal="center" vertical="center"/>
    </xf>
    <xf numFmtId="0" fontId="20" fillId="3" borderId="6" xfId="4" applyFont="1" applyFill="1" applyBorder="1" applyAlignment="1">
      <alignment horizontal="center" vertical="center"/>
    </xf>
    <xf numFmtId="0" fontId="20" fillId="3" borderId="3" xfId="4" applyFont="1" applyFill="1" applyBorder="1" applyAlignment="1">
      <alignment horizontal="center" vertical="center"/>
    </xf>
    <xf numFmtId="0" fontId="20" fillId="3" borderId="9" xfId="4" applyFont="1" applyFill="1" applyBorder="1" applyAlignment="1">
      <alignment horizontal="center" vertical="center"/>
    </xf>
    <xf numFmtId="0" fontId="20" fillId="3" borderId="8" xfId="4" applyFont="1" applyFill="1" applyBorder="1" applyAlignment="1">
      <alignment horizontal="center" vertical="center"/>
    </xf>
    <xf numFmtId="0" fontId="20" fillId="3" borderId="4" xfId="4" applyFont="1" applyFill="1" applyBorder="1" applyAlignment="1">
      <alignment horizontal="center" vertical="center"/>
    </xf>
    <xf numFmtId="0" fontId="20" fillId="3" borderId="11" xfId="4" applyFont="1" applyFill="1" applyBorder="1" applyAlignment="1">
      <alignment horizontal="center" vertical="center"/>
    </xf>
    <xf numFmtId="0" fontId="15" fillId="3" borderId="0" xfId="4" applyFont="1" applyFill="1" applyAlignment="1">
      <alignment vertical="top" wrapText="1"/>
    </xf>
    <xf numFmtId="0" fontId="17" fillId="2" borderId="1" xfId="4" applyFont="1" applyFill="1" applyBorder="1" applyAlignment="1">
      <alignment horizontal="center" vertical="center"/>
    </xf>
    <xf numFmtId="0" fontId="17" fillId="0" borderId="1" xfId="4" applyFont="1" applyFill="1" applyBorder="1" applyAlignment="1">
      <alignment horizontal="center" vertical="center" wrapText="1"/>
    </xf>
    <xf numFmtId="9" fontId="8" fillId="3" borderId="1" xfId="11" applyFont="1" applyFill="1" applyBorder="1" applyAlignment="1">
      <alignment horizontal="center"/>
    </xf>
    <xf numFmtId="179" fontId="9" fillId="3" borderId="1" xfId="4" applyNumberFormat="1" applyFont="1" applyFill="1" applyBorder="1" applyAlignment="1">
      <alignment horizontal="center" vertical="center"/>
    </xf>
    <xf numFmtId="0" fontId="17" fillId="0" borderId="1" xfId="4" applyFont="1" applyBorder="1" applyAlignment="1">
      <alignment horizontal="center" vertical="center"/>
    </xf>
    <xf numFmtId="0" fontId="17" fillId="0" borderId="1" xfId="4" applyFont="1" applyFill="1" applyBorder="1" applyAlignment="1">
      <alignment horizontal="center" vertical="center"/>
    </xf>
    <xf numFmtId="1" fontId="15" fillId="3" borderId="1" xfId="4" applyNumberFormat="1" applyFont="1" applyFill="1" applyBorder="1" applyAlignment="1">
      <alignment horizontal="center" wrapText="1"/>
    </xf>
    <xf numFmtId="179" fontId="15" fillId="3" borderId="6" xfId="0" applyNumberFormat="1" applyFont="1" applyFill="1" applyBorder="1" applyAlignment="1">
      <alignment horizontal="center" vertical="center"/>
    </xf>
    <xf numFmtId="179" fontId="15" fillId="3" borderId="3" xfId="0" applyNumberFormat="1" applyFont="1" applyFill="1" applyBorder="1" applyAlignment="1">
      <alignment horizontal="center" vertical="center"/>
    </xf>
    <xf numFmtId="179" fontId="15" fillId="3" borderId="9" xfId="0" applyNumberFormat="1" applyFont="1" applyFill="1" applyBorder="1" applyAlignment="1">
      <alignment horizontal="center" vertical="center"/>
    </xf>
    <xf numFmtId="179" fontId="15" fillId="3" borderId="8" xfId="0" applyNumberFormat="1" applyFont="1" applyFill="1" applyBorder="1" applyAlignment="1">
      <alignment horizontal="center" vertical="center"/>
    </xf>
    <xf numFmtId="179" fontId="15" fillId="3" borderId="4" xfId="0" applyNumberFormat="1" applyFont="1" applyFill="1" applyBorder="1" applyAlignment="1">
      <alignment horizontal="center" vertical="center"/>
    </xf>
    <xf numFmtId="179" fontId="15" fillId="3" borderId="11" xfId="0" applyNumberFormat="1" applyFont="1" applyFill="1" applyBorder="1" applyAlignment="1">
      <alignment horizontal="center" vertical="center"/>
    </xf>
    <xf numFmtId="1" fontId="15" fillId="3" borderId="0" xfId="4" applyNumberFormat="1" applyFont="1" applyFill="1" applyAlignment="1">
      <alignment horizontal="justify" vertical="top" wrapText="1"/>
    </xf>
    <xf numFmtId="0" fontId="15" fillId="2" borderId="6" xfId="4" applyFont="1" applyFill="1" applyBorder="1" applyAlignment="1">
      <alignment horizontal="center" vertical="center"/>
    </xf>
    <xf numFmtId="0" fontId="15" fillId="2" borderId="3" xfId="4" applyFont="1" applyFill="1" applyBorder="1" applyAlignment="1">
      <alignment horizontal="center" vertical="center"/>
    </xf>
    <xf numFmtId="0" fontId="15" fillId="2" borderId="9" xfId="4" applyFont="1" applyFill="1" applyBorder="1" applyAlignment="1">
      <alignment horizontal="center" vertical="center"/>
    </xf>
    <xf numFmtId="0" fontId="15" fillId="2" borderId="8" xfId="4" applyFont="1" applyFill="1" applyBorder="1" applyAlignment="1">
      <alignment horizontal="center" vertical="center"/>
    </xf>
    <xf numFmtId="0" fontId="15" fillId="2" borderId="4" xfId="4" applyFont="1" applyFill="1" applyBorder="1" applyAlignment="1">
      <alignment horizontal="center" vertical="center"/>
    </xf>
    <xf numFmtId="0" fontId="15" fillId="2" borderId="11" xfId="4" applyFont="1" applyFill="1" applyBorder="1" applyAlignment="1">
      <alignment horizontal="center" vertical="center"/>
    </xf>
    <xf numFmtId="0" fontId="14" fillId="0" borderId="6"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11" xfId="4" applyFont="1" applyBorder="1" applyAlignment="1">
      <alignment horizontal="center" vertical="center" wrapText="1"/>
    </xf>
    <xf numFmtId="0" fontId="15" fillId="3" borderId="0" xfId="4" applyFont="1" applyFill="1" applyAlignment="1">
      <alignment horizontal="left" vertical="top" wrapText="1"/>
    </xf>
    <xf numFmtId="0" fontId="13" fillId="3" borderId="6" xfId="4" applyFont="1" applyFill="1" applyBorder="1" applyAlignment="1">
      <alignment horizontal="left" vertical="top" wrapText="1"/>
    </xf>
    <xf numFmtId="0" fontId="10" fillId="3" borderId="3" xfId="4" applyFont="1" applyFill="1" applyBorder="1" applyAlignment="1">
      <alignment horizontal="left" vertical="top" wrapText="1"/>
    </xf>
    <xf numFmtId="0" fontId="10" fillId="3" borderId="9" xfId="4" applyFont="1" applyFill="1" applyBorder="1" applyAlignment="1">
      <alignment horizontal="left" vertical="top" wrapText="1"/>
    </xf>
    <xf numFmtId="0" fontId="10" fillId="3" borderId="7" xfId="4" applyFont="1" applyFill="1" applyBorder="1" applyAlignment="1">
      <alignment horizontal="left" vertical="top" wrapText="1"/>
    </xf>
    <xf numFmtId="0" fontId="10" fillId="3" borderId="0" xfId="4" applyFont="1" applyFill="1" applyBorder="1" applyAlignment="1">
      <alignment horizontal="left" vertical="top" wrapText="1"/>
    </xf>
    <xf numFmtId="0" fontId="10" fillId="3" borderId="10" xfId="4" applyFont="1" applyFill="1" applyBorder="1" applyAlignment="1">
      <alignment horizontal="left" vertical="top" wrapText="1"/>
    </xf>
    <xf numFmtId="0" fontId="10" fillId="3" borderId="8" xfId="4" applyFont="1" applyFill="1" applyBorder="1" applyAlignment="1">
      <alignment horizontal="left" vertical="top" wrapText="1"/>
    </xf>
    <xf numFmtId="0" fontId="10" fillId="3" borderId="4" xfId="4" applyFont="1" applyFill="1" applyBorder="1" applyAlignment="1">
      <alignment horizontal="left" vertical="top" wrapText="1"/>
    </xf>
    <xf numFmtId="0" fontId="10" fillId="3" borderId="11" xfId="4" applyFont="1" applyFill="1" applyBorder="1" applyAlignment="1">
      <alignment horizontal="left" vertical="top" wrapText="1"/>
    </xf>
    <xf numFmtId="0" fontId="14" fillId="2" borderId="3"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1" fillId="3" borderId="4" xfId="4" applyFont="1" applyFill="1" applyBorder="1" applyAlignment="1">
      <alignment horizontal="left" vertical="top"/>
    </xf>
    <xf numFmtId="0" fontId="16" fillId="3" borderId="0" xfId="4" applyFont="1" applyFill="1" applyAlignment="1">
      <alignment horizontal="center"/>
    </xf>
    <xf numFmtId="0" fontId="12" fillId="2" borderId="1" xfId="4" applyFont="1" applyFill="1" applyBorder="1" applyAlignment="1">
      <alignment horizontal="center" vertical="center" wrapText="1"/>
    </xf>
    <xf numFmtId="0" fontId="42" fillId="3" borderId="0" xfId="4" applyFont="1" applyFill="1" applyAlignment="1">
      <alignment horizontal="center"/>
    </xf>
    <xf numFmtId="171" fontId="6" fillId="0" borderId="0" xfId="3" applyFont="1" applyBorder="1" applyAlignment="1">
      <alignment horizontal="center" vertical="center"/>
    </xf>
    <xf numFmtId="171" fontId="6" fillId="0" borderId="4" xfId="3" applyFont="1" applyBorder="1" applyAlignment="1">
      <alignment horizontal="center" vertical="center"/>
    </xf>
    <xf numFmtId="0" fontId="7" fillId="3" borderId="3" xfId="4" applyFont="1" applyFill="1" applyBorder="1" applyAlignment="1">
      <alignment horizontal="center" vertical="center" wrapText="1"/>
    </xf>
    <xf numFmtId="0" fontId="7" fillId="3" borderId="0" xfId="4" applyFont="1" applyFill="1" applyAlignment="1">
      <alignment horizontal="center" vertical="center" wrapText="1"/>
    </xf>
    <xf numFmtId="0" fontId="9" fillId="3" borderId="0" xfId="4" applyFont="1" applyFill="1" applyAlignment="1">
      <alignment horizontal="center"/>
    </xf>
    <xf numFmtId="0" fontId="13" fillId="3" borderId="6" xfId="4" applyNumberFormat="1" applyFont="1" applyFill="1" applyBorder="1" applyAlignment="1">
      <alignment horizontal="justify" vertical="top" wrapText="1"/>
    </xf>
    <xf numFmtId="0" fontId="13" fillId="3" borderId="3" xfId="4" applyNumberFormat="1" applyFont="1" applyFill="1" applyBorder="1" applyAlignment="1">
      <alignment horizontal="justify" vertical="top" wrapText="1"/>
    </xf>
    <xf numFmtId="0" fontId="13" fillId="3" borderId="9" xfId="4" applyNumberFormat="1" applyFont="1" applyFill="1" applyBorder="1" applyAlignment="1">
      <alignment horizontal="justify" vertical="top" wrapText="1"/>
    </xf>
    <xf numFmtId="0" fontId="13" fillId="3" borderId="7" xfId="4" applyNumberFormat="1" applyFont="1" applyFill="1" applyBorder="1" applyAlignment="1">
      <alignment horizontal="justify" vertical="top" wrapText="1"/>
    </xf>
    <xf numFmtId="0" fontId="13" fillId="3" borderId="0" xfId="4" applyNumberFormat="1" applyFont="1" applyFill="1" applyBorder="1" applyAlignment="1">
      <alignment horizontal="justify" vertical="top" wrapText="1"/>
    </xf>
    <xf numFmtId="0" fontId="13" fillId="3" borderId="10" xfId="4" applyNumberFormat="1" applyFont="1" applyFill="1" applyBorder="1" applyAlignment="1">
      <alignment horizontal="justify" vertical="top" wrapText="1"/>
    </xf>
    <xf numFmtId="0" fontId="13" fillId="3" borderId="8" xfId="4" applyNumberFormat="1" applyFont="1" applyFill="1" applyBorder="1" applyAlignment="1">
      <alignment horizontal="justify" vertical="top" wrapText="1"/>
    </xf>
    <xf numFmtId="0" fontId="13" fillId="3" borderId="4" xfId="4" applyNumberFormat="1" applyFont="1" applyFill="1" applyBorder="1" applyAlignment="1">
      <alignment horizontal="justify" vertical="top" wrapText="1"/>
    </xf>
    <xf numFmtId="0" fontId="13" fillId="3" borderId="11" xfId="4" applyNumberFormat="1" applyFont="1" applyFill="1" applyBorder="1" applyAlignment="1">
      <alignment horizontal="justify" vertical="top" wrapText="1"/>
    </xf>
    <xf numFmtId="179" fontId="14" fillId="0" borderId="1" xfId="4" applyNumberFormat="1" applyFont="1" applyFill="1" applyBorder="1" applyAlignment="1">
      <alignment horizontal="center" vertical="center" wrapText="1"/>
    </xf>
    <xf numFmtId="2" fontId="14" fillId="0" borderId="1" xfId="4" applyNumberFormat="1" applyFont="1" applyBorder="1" applyAlignment="1">
      <alignment horizontal="center" vertical="center" wrapText="1"/>
    </xf>
    <xf numFmtId="14" fontId="8" fillId="3" borderId="0" xfId="4" applyNumberFormat="1" applyFont="1" applyFill="1" applyAlignment="1">
      <alignment horizontal="center"/>
    </xf>
    <xf numFmtId="0" fontId="10" fillId="3" borderId="0" xfId="4" applyFont="1" applyFill="1" applyAlignment="1">
      <alignment horizontal="justify" vertical="top" wrapText="1" shrinkToFit="1"/>
    </xf>
    <xf numFmtId="49" fontId="37" fillId="4" borderId="22" xfId="13" applyNumberFormat="1" applyFill="1" applyBorder="1" applyAlignment="1" applyProtection="1">
      <alignment horizontal="center"/>
      <protection locked="0"/>
    </xf>
    <xf numFmtId="0" fontId="37" fillId="4" borderId="22" xfId="13" applyFill="1" applyBorder="1" applyAlignment="1" applyProtection="1">
      <alignment horizontal="center"/>
      <protection locked="0"/>
    </xf>
    <xf numFmtId="179" fontId="37" fillId="4" borderId="22" xfId="13" applyNumberFormat="1" applyFill="1" applyBorder="1" applyAlignment="1" applyProtection="1">
      <alignment horizontal="center"/>
      <protection locked="0"/>
    </xf>
    <xf numFmtId="0" fontId="37" fillId="4" borderId="19" xfId="13" applyFill="1" applyAlignment="1" applyProtection="1">
      <alignment horizontal="center"/>
      <protection locked="0"/>
    </xf>
    <xf numFmtId="0" fontId="47" fillId="0" borderId="0" xfId="5" applyFont="1" applyAlignment="1" applyProtection="1">
      <alignment horizontal="left"/>
    </xf>
    <xf numFmtId="0" fontId="48" fillId="0" borderId="0" xfId="7" applyFont="1" applyFill="1" applyBorder="1" applyAlignment="1" applyProtection="1">
      <alignment horizontal="left" vertical="center" wrapText="1"/>
      <protection hidden="1"/>
    </xf>
    <xf numFmtId="0" fontId="64" fillId="0" borderId="0" xfId="6" applyFont="1" applyAlignment="1" applyProtection="1">
      <alignment horizontal="center" vertical="center" wrapText="1"/>
      <protection locked="0"/>
    </xf>
    <xf numFmtId="0" fontId="40" fillId="0" borderId="5" xfId="0" applyFont="1" applyBorder="1" applyAlignment="1">
      <alignment horizontal="center" vertical="center"/>
    </xf>
    <xf numFmtId="0" fontId="40" fillId="0" borderId="2" xfId="0" applyFont="1" applyBorder="1" applyAlignment="1">
      <alignment horizontal="center" vertical="center"/>
    </xf>
    <xf numFmtId="0" fontId="40" fillId="0" borderId="12" xfId="0" applyFont="1" applyBorder="1" applyAlignment="1">
      <alignment horizontal="center" vertical="center"/>
    </xf>
  </cellXfs>
  <cellStyles count="14">
    <cellStyle name="Estilo 1" xfId="1"/>
    <cellStyle name="Euro" xfId="2"/>
    <cellStyle name="Millares 2" xfId="3"/>
    <cellStyle name="Normal" xfId="0" builtinId="0"/>
    <cellStyle name="Normal 2" xfId="4"/>
    <cellStyle name="Normal 2 2" xfId="5"/>
    <cellStyle name="Normal 3" xfId="6"/>
    <cellStyle name="Normal 3 2" xfId="7"/>
    <cellStyle name="Normal 4" xfId="8"/>
    <cellStyle name="Normal 5" xfId="9"/>
    <cellStyle name="Porcentaje" xfId="10" builtinId="5"/>
    <cellStyle name="Porcentaje 2" xfId="11"/>
    <cellStyle name="Porcentaje 3" xfId="12"/>
    <cellStyle name="Título 3" xfId="13" builtinId="18"/>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571500</xdr:colOff>
      <xdr:row>17</xdr:row>
      <xdr:rowOff>142875</xdr:rowOff>
    </xdr:from>
    <xdr:to>
      <xdr:col>5</xdr:col>
      <xdr:colOff>190501</xdr:colOff>
      <xdr:row>20</xdr:row>
      <xdr:rowOff>133350</xdr:rowOff>
    </xdr:to>
    <xdr:sp macro="" textlink="">
      <xdr:nvSpPr>
        <xdr:cNvPr id="2" name="3 Rectángulo"/>
        <xdr:cNvSpPr/>
      </xdr:nvSpPr>
      <xdr:spPr>
        <a:xfrm>
          <a:off x="247650" y="3390900"/>
          <a:ext cx="3781426" cy="5810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O" sz="1100"/>
        </a:p>
      </xdr:txBody>
    </xdr:sp>
    <xdr:clientData/>
  </xdr:twoCellAnchor>
  <xdr:twoCellAnchor editAs="oneCell">
    <xdr:from>
      <xdr:col>0</xdr:col>
      <xdr:colOff>47625</xdr:colOff>
      <xdr:row>1</xdr:row>
      <xdr:rowOff>0</xdr:rowOff>
    </xdr:from>
    <xdr:to>
      <xdr:col>0</xdr:col>
      <xdr:colOff>219075</xdr:colOff>
      <xdr:row>18</xdr:row>
      <xdr:rowOff>76200</xdr:rowOff>
    </xdr:to>
    <xdr:pic>
      <xdr:nvPicPr>
        <xdr:cNvPr id="327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7145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38099</xdr:rowOff>
    </xdr:from>
    <xdr:to>
      <xdr:col>7</xdr:col>
      <xdr:colOff>485775</xdr:colOff>
      <xdr:row>35</xdr:row>
      <xdr:rowOff>171450</xdr:rowOff>
    </xdr:to>
    <xdr:sp macro="" textlink="">
      <xdr:nvSpPr>
        <xdr:cNvPr id="4" name="Rectángulo 3"/>
        <xdr:cNvSpPr/>
      </xdr:nvSpPr>
      <xdr:spPr>
        <a:xfrm>
          <a:off x="190500" y="38099"/>
          <a:ext cx="6372225" cy="7191376"/>
        </a:xfrm>
        <a:prstGeom prst="rect">
          <a:avLst/>
        </a:prstGeom>
        <a:noFill/>
        <a:ln>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390525</xdr:colOff>
      <xdr:row>28</xdr:row>
      <xdr:rowOff>9524</xdr:rowOff>
    </xdr:from>
    <xdr:to>
      <xdr:col>6</xdr:col>
      <xdr:colOff>1285875</xdr:colOff>
      <xdr:row>35</xdr:row>
      <xdr:rowOff>76200</xdr:rowOff>
    </xdr:to>
    <xdr:sp macro="" textlink="">
      <xdr:nvSpPr>
        <xdr:cNvPr id="5" name="CuadroTexto 4"/>
        <xdr:cNvSpPr txBox="1"/>
      </xdr:nvSpPr>
      <xdr:spPr>
        <a:xfrm>
          <a:off x="247650" y="5486399"/>
          <a:ext cx="5867400" cy="1647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El contenido de este documento es para uso exclusivo de Bancolombia S.A, y no comporta oferta, opción o promesa de contratar a cargo de Bancolombia S.A. Este material no deberá ser compartido con clientes o usuarios de la entidad.</a:t>
          </a:r>
          <a:r>
            <a:rPr lang="es-CO" sz="1100">
              <a:solidFill>
                <a:schemeClr val="dk1"/>
              </a:solidFill>
              <a:effectLst/>
              <a:latin typeface="+mn-lt"/>
              <a:ea typeface="+mn-ea"/>
              <a:cs typeface="+mn-cs"/>
            </a:rPr>
            <a:t> </a:t>
          </a:r>
          <a:r>
            <a:rPr lang="es-CO" sz="1100" i="1">
              <a:solidFill>
                <a:schemeClr val="dk1"/>
              </a:solidFill>
              <a:effectLst/>
              <a:latin typeface="+mn-lt"/>
              <a:ea typeface="+mn-ea"/>
              <a:cs typeface="+mn-cs"/>
            </a:rPr>
            <a:t>El valor de la cuota es fija, la tasa variable y el plazo es estimado..</a:t>
          </a:r>
          <a:r>
            <a:rPr lang="es-CO" sz="1100">
              <a:solidFill>
                <a:schemeClr val="dk1"/>
              </a:solidFill>
              <a:effectLst/>
              <a:latin typeface="+mn-lt"/>
              <a:ea typeface="+mn-ea"/>
              <a:cs typeface="+mn-cs"/>
            </a:rPr>
            <a:t> </a:t>
          </a:r>
          <a:r>
            <a:rPr lang="es-CO" sz="1100" i="1">
              <a:solidFill>
                <a:schemeClr val="dk1"/>
              </a:solidFill>
              <a:effectLst/>
              <a:latin typeface="+mn-lt"/>
              <a:ea typeface="+mn-ea"/>
              <a:cs typeface="+mn-cs"/>
            </a:rPr>
            <a:t>El valor de la cuota es fija, la tasa variable y el plazo es estimado. *Seguro colectivo de Seguros de Vida Suramericana S.A en el cual Bancolombia S.A., actúa como tomador por cuenta de sus deudores. ** Seguro colectivo de Seguros Generales Suramericana S.A en el cual Bancolombia S.A., actúa como tomador por cuenta de sus deudores.</a:t>
          </a:r>
          <a:r>
            <a:rPr lang="es-CO" sz="1100" i="0" baseline="0">
              <a:solidFill>
                <a:schemeClr val="dk1"/>
              </a:solidFill>
              <a:effectLst/>
              <a:latin typeface="+mn-lt"/>
              <a:ea typeface="+mn-ea"/>
              <a:cs typeface="+mn-cs"/>
            </a:rPr>
            <a:t> </a:t>
          </a:r>
          <a:r>
            <a:rPr lang="es-CO" sz="1100" b="1" baseline="0">
              <a:solidFill>
                <a:sysClr val="windowText" lastClr="000000"/>
              </a:solidFill>
            </a:rPr>
            <a:t>EL VALOR DE LA CUOTA PUEDE VARIAR DEBIDO A QUE EL CUPO ACORDADO ES UN PROMEDIO ESTIMADO. </a:t>
          </a:r>
          <a:endParaRPr lang="es-CO" sz="1100" b="1">
            <a:solidFill>
              <a:sysClr val="windowText" lastClr="000000"/>
            </a:solidFill>
          </a:endParaRPr>
        </a:p>
      </xdr:txBody>
    </xdr:sp>
    <xdr:clientData/>
  </xdr:twoCellAnchor>
  <xdr:twoCellAnchor editAs="oneCell">
    <xdr:from>
      <xdr:col>0</xdr:col>
      <xdr:colOff>295275</xdr:colOff>
      <xdr:row>0</xdr:row>
      <xdr:rowOff>152400</xdr:rowOff>
    </xdr:from>
    <xdr:to>
      <xdr:col>2</xdr:col>
      <xdr:colOff>1200150</xdr:colOff>
      <xdr:row>5</xdr:row>
      <xdr:rowOff>123825</xdr:rowOff>
    </xdr:to>
    <xdr:pic>
      <xdr:nvPicPr>
        <xdr:cNvPr id="3279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52400"/>
          <a:ext cx="1266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381001</xdr:colOff>
      <xdr:row>23</xdr:row>
      <xdr:rowOff>38100</xdr:rowOff>
    </xdr:from>
    <xdr:to>
      <xdr:col>6</xdr:col>
      <xdr:colOff>1276351</xdr:colOff>
      <xdr:row>25</xdr:row>
      <xdr:rowOff>152400</xdr:rowOff>
    </xdr:to>
    <xdr:sp macro="" textlink="">
      <xdr:nvSpPr>
        <xdr:cNvPr id="7" name="CuadroTexto 6"/>
        <xdr:cNvSpPr txBox="1"/>
      </xdr:nvSpPr>
      <xdr:spPr>
        <a:xfrm>
          <a:off x="247651" y="4362450"/>
          <a:ext cx="58674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i="0" u="none" strike="noStrike">
              <a:solidFill>
                <a:schemeClr val="dk1"/>
              </a:solidFill>
              <a:effectLst/>
              <a:latin typeface="+mn-lt"/>
              <a:ea typeface="+mn-ea"/>
              <a:cs typeface="+mn-cs"/>
            </a:rPr>
            <a:t>Las obligaciones a cargo del cliente serán garantizadas por una Fianza otorgada a favor de Bancolombia S.A por el Fondo de Garantías- FGA. EL costo de esta Fianza será pagada por el cliente y financiada por Bancolombia S.A</a:t>
          </a:r>
          <a:r>
            <a:rPr lang="es-CO"/>
            <a:t> </a:t>
          </a:r>
          <a:endParaRPr lang="es-CO"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2</xdr:row>
      <xdr:rowOff>0</xdr:rowOff>
    </xdr:from>
    <xdr:to>
      <xdr:col>7</xdr:col>
      <xdr:colOff>66675</xdr:colOff>
      <xdr:row>8</xdr:row>
      <xdr:rowOff>0</xdr:rowOff>
    </xdr:to>
    <xdr:pic>
      <xdr:nvPicPr>
        <xdr:cNvPr id="31992"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80975"/>
          <a:ext cx="13049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editAs="oneCell">
    <xdr:from>
      <xdr:col>23</xdr:col>
      <xdr:colOff>66675</xdr:colOff>
      <xdr:row>2</xdr:row>
      <xdr:rowOff>66675</xdr:rowOff>
    </xdr:from>
    <xdr:to>
      <xdr:col>29</xdr:col>
      <xdr:colOff>228600</xdr:colOff>
      <xdr:row>6</xdr:row>
      <xdr:rowOff>104775</xdr:rowOff>
    </xdr:to>
    <xdr:pic>
      <xdr:nvPicPr>
        <xdr:cNvPr id="31993" name="1 Imagen" descr="Logo Sura nuevo.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9225" y="247650"/>
          <a:ext cx="1447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36</xdr:row>
      <xdr:rowOff>76200</xdr:rowOff>
    </xdr:from>
    <xdr:to>
      <xdr:col>3</xdr:col>
      <xdr:colOff>114300</xdr:colOff>
      <xdr:row>38</xdr:row>
      <xdr:rowOff>38100</xdr:rowOff>
    </xdr:to>
    <xdr:pic>
      <xdr:nvPicPr>
        <xdr:cNvPr id="31994"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71" t="3061" b="7111"/>
        <a:stretch>
          <a:fillRect/>
        </a:stretch>
      </xdr:blipFill>
      <xdr:spPr bwMode="auto">
        <a:xfrm>
          <a:off x="238125" y="4476750"/>
          <a:ext cx="333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41</xdr:row>
      <xdr:rowOff>9525</xdr:rowOff>
    </xdr:from>
    <xdr:to>
      <xdr:col>3</xdr:col>
      <xdr:colOff>114300</xdr:colOff>
      <xdr:row>42</xdr:row>
      <xdr:rowOff>66675</xdr:rowOff>
    </xdr:to>
    <xdr:pic>
      <xdr:nvPicPr>
        <xdr:cNvPr id="31995"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71" t="3061" b="7111"/>
        <a:stretch>
          <a:fillRect/>
        </a:stretch>
      </xdr:blipFill>
      <xdr:spPr bwMode="auto">
        <a:xfrm>
          <a:off x="238125" y="5000625"/>
          <a:ext cx="333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45</xdr:row>
      <xdr:rowOff>9525</xdr:rowOff>
    </xdr:from>
    <xdr:to>
      <xdr:col>3</xdr:col>
      <xdr:colOff>114300</xdr:colOff>
      <xdr:row>46</xdr:row>
      <xdr:rowOff>66675</xdr:rowOff>
    </xdr:to>
    <xdr:pic>
      <xdr:nvPicPr>
        <xdr:cNvPr id="31996"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71" t="3061" b="7111"/>
        <a:stretch>
          <a:fillRect/>
        </a:stretch>
      </xdr:blipFill>
      <xdr:spPr bwMode="auto">
        <a:xfrm>
          <a:off x="238125" y="5495925"/>
          <a:ext cx="333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50</xdr:row>
      <xdr:rowOff>114300</xdr:rowOff>
    </xdr:from>
    <xdr:to>
      <xdr:col>3</xdr:col>
      <xdr:colOff>114300</xdr:colOff>
      <xdr:row>52</xdr:row>
      <xdr:rowOff>47625</xdr:rowOff>
    </xdr:to>
    <xdr:pic>
      <xdr:nvPicPr>
        <xdr:cNvPr id="31997"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71" t="3061" b="7111"/>
        <a:stretch>
          <a:fillRect/>
        </a:stretch>
      </xdr:blipFill>
      <xdr:spPr bwMode="auto">
        <a:xfrm>
          <a:off x="238125" y="6315075"/>
          <a:ext cx="333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55</xdr:row>
      <xdr:rowOff>104775</xdr:rowOff>
    </xdr:from>
    <xdr:to>
      <xdr:col>3</xdr:col>
      <xdr:colOff>133350</xdr:colOff>
      <xdr:row>57</xdr:row>
      <xdr:rowOff>38100</xdr:rowOff>
    </xdr:to>
    <xdr:pic>
      <xdr:nvPicPr>
        <xdr:cNvPr id="31998"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71" t="3061" b="7111"/>
        <a:stretch>
          <a:fillRect/>
        </a:stretch>
      </xdr:blipFill>
      <xdr:spPr bwMode="auto">
        <a:xfrm>
          <a:off x="257175" y="6924675"/>
          <a:ext cx="333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59</xdr:row>
      <xdr:rowOff>19050</xdr:rowOff>
    </xdr:from>
    <xdr:to>
      <xdr:col>3</xdr:col>
      <xdr:colOff>123825</xdr:colOff>
      <xdr:row>60</xdr:row>
      <xdr:rowOff>85725</xdr:rowOff>
    </xdr:to>
    <xdr:pic>
      <xdr:nvPicPr>
        <xdr:cNvPr id="31999"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71" t="3061" b="7111"/>
        <a:stretch>
          <a:fillRect/>
        </a:stretch>
      </xdr:blipFill>
      <xdr:spPr bwMode="auto">
        <a:xfrm>
          <a:off x="247650" y="7334250"/>
          <a:ext cx="3333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742950</xdr:colOff>
          <xdr:row>21</xdr:row>
          <xdr:rowOff>66675</xdr:rowOff>
        </xdr:from>
        <xdr:to>
          <xdr:col>1</xdr:col>
          <xdr:colOff>1219200</xdr:colOff>
          <xdr:row>23</xdr:row>
          <xdr:rowOff>123825</xdr:rowOff>
        </xdr:to>
        <xdr:sp macro="" textlink="">
          <xdr:nvSpPr>
            <xdr:cNvPr id="16606" name="CommandButton1" hidden="1">
              <a:extLst>
                <a:ext uri="{63B3BB69-23CF-44E3-9099-C40C66FF867C}">
                  <a14:compatExt spid="_x0000_s1660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571500</xdr:colOff>
      <xdr:row>18</xdr:row>
      <xdr:rowOff>142875</xdr:rowOff>
    </xdr:from>
    <xdr:to>
      <xdr:col>4</xdr:col>
      <xdr:colOff>190501</xdr:colOff>
      <xdr:row>21</xdr:row>
      <xdr:rowOff>133350</xdr:rowOff>
    </xdr:to>
    <xdr:sp macro="" textlink="">
      <xdr:nvSpPr>
        <xdr:cNvPr id="2" name="3 Rectángulo"/>
        <xdr:cNvSpPr/>
      </xdr:nvSpPr>
      <xdr:spPr>
        <a:xfrm>
          <a:off x="209550" y="4619625"/>
          <a:ext cx="4219576" cy="5810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O" sz="1100"/>
        </a:p>
      </xdr:txBody>
    </xdr:sp>
    <xdr:clientData/>
  </xdr:twoCellAnchor>
  <xdr:twoCellAnchor editAs="oneCell">
    <xdr:from>
      <xdr:col>0</xdr:col>
      <xdr:colOff>47625</xdr:colOff>
      <xdr:row>1</xdr:row>
      <xdr:rowOff>0</xdr:rowOff>
    </xdr:from>
    <xdr:to>
      <xdr:col>1</xdr:col>
      <xdr:colOff>9525</xdr:colOff>
      <xdr:row>15</xdr:row>
      <xdr:rowOff>114300</xdr:rowOff>
    </xdr:to>
    <xdr:pic>
      <xdr:nvPicPr>
        <xdr:cNvPr id="338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7145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38099</xdr:rowOff>
    </xdr:from>
    <xdr:to>
      <xdr:col>6</xdr:col>
      <xdr:colOff>523875</xdr:colOff>
      <xdr:row>32</xdr:row>
      <xdr:rowOff>142875</xdr:rowOff>
    </xdr:to>
    <xdr:sp macro="" textlink="">
      <xdr:nvSpPr>
        <xdr:cNvPr id="4" name="Rectángulo 3"/>
        <xdr:cNvSpPr/>
      </xdr:nvSpPr>
      <xdr:spPr>
        <a:xfrm>
          <a:off x="190500" y="38099"/>
          <a:ext cx="9372600" cy="7467601"/>
        </a:xfrm>
        <a:prstGeom prst="rect">
          <a:avLst/>
        </a:prstGeom>
        <a:noFill/>
        <a:ln>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s-CO"/>
        </a:p>
      </xdr:txBody>
    </xdr:sp>
    <xdr:clientData/>
  </xdr:twoCellAnchor>
  <xdr:twoCellAnchor>
    <xdr:from>
      <xdr:col>1</xdr:col>
      <xdr:colOff>9525</xdr:colOff>
      <xdr:row>23</xdr:row>
      <xdr:rowOff>38100</xdr:rowOff>
    </xdr:from>
    <xdr:to>
      <xdr:col>4</xdr:col>
      <xdr:colOff>1362075</xdr:colOff>
      <xdr:row>31</xdr:row>
      <xdr:rowOff>161925</xdr:rowOff>
    </xdr:to>
    <xdr:sp macro="" textlink="">
      <xdr:nvSpPr>
        <xdr:cNvPr id="5" name="CuadroTexto 4"/>
        <xdr:cNvSpPr txBox="1"/>
      </xdr:nvSpPr>
      <xdr:spPr>
        <a:xfrm>
          <a:off x="219075" y="5419725"/>
          <a:ext cx="53816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El contenido de este documento es para uso exclusivo de Bancolombia S.A, y no comporta oferta, opción o promesa de contratar a cargo de Bancolombia S.A. Este material no deberá ser compartido con clientes o usuarios de la entidad.</a:t>
          </a:r>
          <a:r>
            <a:rPr lang="es-CO" sz="1100">
              <a:solidFill>
                <a:schemeClr val="dk1"/>
              </a:solidFill>
              <a:effectLst/>
              <a:latin typeface="+mn-lt"/>
              <a:ea typeface="+mn-ea"/>
              <a:cs typeface="+mn-cs"/>
            </a:rPr>
            <a:t> </a:t>
          </a:r>
          <a:r>
            <a:rPr lang="es-CO" sz="1100" i="1">
              <a:solidFill>
                <a:schemeClr val="dk1"/>
              </a:solidFill>
              <a:effectLst/>
              <a:latin typeface="+mn-lt"/>
              <a:ea typeface="+mn-ea"/>
              <a:cs typeface="+mn-cs"/>
            </a:rPr>
            <a:t>El valor de la cuota es fija, la tasa variable y el plazo es estimado..</a:t>
          </a:r>
          <a:r>
            <a:rPr lang="es-CO" sz="1100">
              <a:solidFill>
                <a:schemeClr val="dk1"/>
              </a:solidFill>
              <a:effectLst/>
              <a:latin typeface="+mn-lt"/>
              <a:ea typeface="+mn-ea"/>
              <a:cs typeface="+mn-cs"/>
            </a:rPr>
            <a:t> </a:t>
          </a:r>
          <a:r>
            <a:rPr lang="es-CO" sz="1100" i="1">
              <a:solidFill>
                <a:schemeClr val="dk1"/>
              </a:solidFill>
              <a:effectLst/>
              <a:latin typeface="+mn-lt"/>
              <a:ea typeface="+mn-ea"/>
              <a:cs typeface="+mn-cs"/>
            </a:rPr>
            <a:t>El valor de la cuota es fija, la tasa variable y el plazo es estimado. *Seguro colectivo de Seguros de Vida Suramericana S.A en el cual Bancolombia S.A., actúa como tomador por cuenta de sus deudores. ** Seguro colectivo de Seguros Generales Suramericana S.A en el cual Bancolombia S.A., actúa como tomador por cuenta de sus deudores.</a:t>
          </a:r>
          <a:endParaRPr lang="es-CO" sz="1100">
            <a:solidFill>
              <a:schemeClr val="dk1"/>
            </a:solidFill>
            <a:effectLst/>
            <a:latin typeface="+mn-lt"/>
            <a:ea typeface="+mn-ea"/>
            <a:cs typeface="+mn-cs"/>
          </a:endParaRPr>
        </a:p>
        <a:p>
          <a:r>
            <a:rPr lang="es-CO" sz="1100" b="1" baseline="0">
              <a:solidFill>
                <a:sysClr val="windowText" lastClr="000000"/>
              </a:solidFill>
            </a:rPr>
            <a:t>EL VALOR DE LA CUOTA PUEDE VARIAR DEBIDO A QUE EL CUPO ACORDADO ES UN PROMEDIO ESTIMADO. </a:t>
          </a:r>
          <a:endParaRPr lang="es-CO" sz="1100" b="1">
            <a:solidFill>
              <a:sysClr val="windowText" lastClr="000000"/>
            </a:solidFill>
          </a:endParaRPr>
        </a:p>
      </xdr:txBody>
    </xdr:sp>
    <xdr:clientData/>
  </xdr:twoCellAnchor>
  <xdr:twoCellAnchor>
    <xdr:from>
      <xdr:col>1</xdr:col>
      <xdr:colOff>38099</xdr:colOff>
      <xdr:row>14</xdr:row>
      <xdr:rowOff>152399</xdr:rowOff>
    </xdr:from>
    <xdr:to>
      <xdr:col>4</xdr:col>
      <xdr:colOff>114299</xdr:colOff>
      <xdr:row>18</xdr:row>
      <xdr:rowOff>85724</xdr:rowOff>
    </xdr:to>
    <xdr:sp macro="" textlink="">
      <xdr:nvSpPr>
        <xdr:cNvPr id="6" name="Rectángulo 5"/>
        <xdr:cNvSpPr/>
      </xdr:nvSpPr>
      <xdr:spPr>
        <a:xfrm>
          <a:off x="247649" y="3209924"/>
          <a:ext cx="4105275" cy="1352550"/>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0</xdr:col>
      <xdr:colOff>285750</xdr:colOff>
      <xdr:row>0</xdr:row>
      <xdr:rowOff>133350</xdr:rowOff>
    </xdr:from>
    <xdr:to>
      <xdr:col>2</xdr:col>
      <xdr:colOff>1104900</xdr:colOff>
      <xdr:row>5</xdr:row>
      <xdr:rowOff>104775</xdr:rowOff>
    </xdr:to>
    <xdr:pic>
      <xdr:nvPicPr>
        <xdr:cNvPr id="33822"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33350"/>
          <a:ext cx="1266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6.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
  <sheetViews>
    <sheetView showGridLines="0" tabSelected="1" workbookViewId="0">
      <selection activeCell="G15" sqref="G15"/>
    </sheetView>
  </sheetViews>
  <sheetFormatPr baseColWidth="10" defaultColWidth="0" defaultRowHeight="0" customHeight="1" zeroHeight="1" x14ac:dyDescent="0.25"/>
  <cols>
    <col min="1" max="1" width="3.7109375" style="68" customWidth="1"/>
    <col min="2" max="2" width="1" style="68" customWidth="1"/>
    <col min="3" max="3" width="32" style="68" customWidth="1"/>
    <col min="4" max="4" width="5.28515625" style="108" customWidth="1"/>
    <col min="5" max="5" width="15.5703125" style="68" customWidth="1"/>
    <col min="6" max="6" width="19.85546875" style="68" bestFit="1" customWidth="1"/>
    <col min="7" max="7" width="14.28515625" style="68" customWidth="1"/>
    <col min="8" max="8" width="6.7109375" style="68" customWidth="1"/>
    <col min="9" max="9" width="19" style="68" hidden="1" customWidth="1"/>
    <col min="10" max="14" width="0" style="68" hidden="1" customWidth="1"/>
    <col min="15" max="16384" width="11.42578125" style="68" hidden="1"/>
  </cols>
  <sheetData>
    <row r="1" spans="1:255" ht="15.75" thickBot="1" x14ac:dyDescent="0.3">
      <c r="A1" s="66"/>
      <c r="B1" s="66"/>
      <c r="C1" s="66"/>
      <c r="D1" s="67"/>
      <c r="E1" s="66"/>
      <c r="F1" s="66"/>
      <c r="G1" s="66"/>
      <c r="H1" s="66"/>
    </row>
    <row r="2" spans="1:255" ht="15" x14ac:dyDescent="0.25">
      <c r="A2" s="66"/>
      <c r="B2" s="66"/>
      <c r="C2" s="66"/>
      <c r="D2" s="67"/>
      <c r="E2" s="66"/>
      <c r="F2" s="69"/>
      <c r="G2" s="69"/>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row>
    <row r="3" spans="1:255" ht="20.25" x14ac:dyDescent="0.35">
      <c r="A3" s="66"/>
      <c r="B3" s="131" t="s">
        <v>522</v>
      </c>
      <c r="C3" s="131"/>
      <c r="D3" s="131"/>
      <c r="E3" s="132"/>
      <c r="F3" s="71"/>
      <c r="G3" s="72"/>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c r="IR3" s="73"/>
      <c r="IS3" s="73"/>
      <c r="IT3" s="73"/>
      <c r="IU3" s="73"/>
    </row>
    <row r="4" spans="1:255" ht="15" x14ac:dyDescent="0.25">
      <c r="A4" s="66"/>
      <c r="B4" s="66"/>
      <c r="C4" s="66"/>
      <c r="D4" s="67"/>
      <c r="E4" s="74" t="s">
        <v>523</v>
      </c>
      <c r="F4" s="75">
        <f ca="1">TODAY()</f>
        <v>43124</v>
      </c>
      <c r="G4" s="72"/>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c r="IT4" s="73"/>
      <c r="IU4" s="73"/>
    </row>
    <row r="5" spans="1:255" ht="15.75" thickBot="1" x14ac:dyDescent="0.3">
      <c r="A5" s="66"/>
      <c r="B5" s="66"/>
      <c r="C5" s="66"/>
      <c r="D5" s="67"/>
      <c r="E5" s="66"/>
      <c r="F5" s="71"/>
      <c r="G5" s="72"/>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row>
    <row r="6" spans="1:255" ht="15" x14ac:dyDescent="0.25">
      <c r="A6" s="66"/>
      <c r="B6" s="66"/>
      <c r="C6" s="66"/>
      <c r="D6" s="67"/>
      <c r="E6" s="66"/>
      <c r="F6" s="66"/>
    </row>
    <row r="7" spans="1:255" ht="15" x14ac:dyDescent="0.25">
      <c r="A7" s="66"/>
      <c r="B7" s="66"/>
      <c r="C7" s="67"/>
      <c r="D7" s="66"/>
      <c r="E7" s="66"/>
      <c r="F7" s="133" t="s">
        <v>524</v>
      </c>
      <c r="G7" s="133"/>
    </row>
    <row r="8" spans="1:255" ht="18" customHeight="1" x14ac:dyDescent="0.35">
      <c r="A8" s="66"/>
      <c r="B8" s="66"/>
      <c r="C8" s="77" t="s">
        <v>525</v>
      </c>
      <c r="D8" s="78"/>
      <c r="E8" s="79">
        <v>15000000</v>
      </c>
      <c r="F8" s="133"/>
      <c r="G8" s="133"/>
      <c r="H8" s="80"/>
    </row>
    <row r="9" spans="1:255" ht="18" hidden="1" x14ac:dyDescent="0.35">
      <c r="A9" s="66"/>
      <c r="B9" s="66"/>
      <c r="C9" s="77" t="s">
        <v>526</v>
      </c>
      <c r="D9" s="81"/>
      <c r="E9" s="82">
        <f>E8*1.119-E8</f>
        <v>1785000</v>
      </c>
      <c r="F9" s="83"/>
      <c r="G9" s="83"/>
      <c r="H9" s="80"/>
    </row>
    <row r="10" spans="1:255" ht="18" hidden="1" x14ac:dyDescent="0.35">
      <c r="A10" s="66"/>
      <c r="B10" s="66"/>
      <c r="C10" s="84" t="s">
        <v>527</v>
      </c>
      <c r="D10" s="81"/>
      <c r="E10" s="79">
        <v>7000000</v>
      </c>
      <c r="F10" s="85"/>
      <c r="G10" s="85"/>
    </row>
    <row r="11" spans="1:255" ht="18" customHeight="1" x14ac:dyDescent="0.35">
      <c r="A11" s="66"/>
      <c r="B11" s="66"/>
      <c r="C11" s="77" t="s">
        <v>528</v>
      </c>
      <c r="D11" s="81"/>
      <c r="E11" s="82">
        <f>E8+E9</f>
        <v>16785000</v>
      </c>
      <c r="F11" s="86" t="s">
        <v>529</v>
      </c>
      <c r="G11" s="80"/>
      <c r="H11" s="80"/>
    </row>
    <row r="12" spans="1:255" ht="18" customHeight="1" x14ac:dyDescent="0.35">
      <c r="A12" s="66"/>
      <c r="B12" s="66"/>
      <c r="C12" s="84" t="s">
        <v>530</v>
      </c>
      <c r="D12" s="87"/>
      <c r="E12" s="88">
        <v>72</v>
      </c>
      <c r="F12" s="80"/>
      <c r="G12" s="80"/>
      <c r="H12" s="80"/>
    </row>
    <row r="13" spans="1:255" ht="18" x14ac:dyDescent="0.35">
      <c r="A13" s="66"/>
      <c r="B13" s="66"/>
      <c r="C13" s="84" t="s">
        <v>531</v>
      </c>
      <c r="D13" s="87"/>
      <c r="E13" s="89">
        <v>2.2700000000000001E-2</v>
      </c>
    </row>
    <row r="14" spans="1:255" ht="18" x14ac:dyDescent="0.35">
      <c r="A14" s="66"/>
      <c r="B14" s="66"/>
      <c r="C14" s="84" t="s">
        <v>532</v>
      </c>
      <c r="D14" s="87"/>
      <c r="E14" s="89">
        <v>0.31040000000000001</v>
      </c>
    </row>
    <row r="15" spans="1:255" ht="18" x14ac:dyDescent="0.3">
      <c r="A15" s="66"/>
      <c r="B15" s="66"/>
      <c r="C15" s="90" t="s">
        <v>533</v>
      </c>
      <c r="D15" s="91"/>
      <c r="E15" s="92">
        <f ca="1">ROUND(NewCotizacion!Y75,0)</f>
        <v>126140</v>
      </c>
    </row>
    <row r="16" spans="1:255" ht="18" x14ac:dyDescent="0.35">
      <c r="A16" s="66"/>
      <c r="B16" s="66"/>
      <c r="C16" s="84" t="s">
        <v>534</v>
      </c>
      <c r="D16" s="87"/>
      <c r="E16" s="93">
        <f>IF(E11&gt;E10,(2219*E11/1000000),(2219*E10/1000000))</f>
        <v>37245.915000000001</v>
      </c>
      <c r="F16" s="134"/>
      <c r="G16" s="134"/>
      <c r="H16" s="94"/>
    </row>
    <row r="17" spans="1:14" ht="18" x14ac:dyDescent="0.35">
      <c r="A17" s="66"/>
      <c r="B17" s="66"/>
      <c r="C17" s="84" t="s">
        <v>535</v>
      </c>
      <c r="D17" s="68"/>
      <c r="E17" s="82">
        <f>PMT(E13,E12,-E9)</f>
        <v>50565.116191203597</v>
      </c>
      <c r="F17" s="134"/>
      <c r="G17" s="134"/>
      <c r="H17" s="94"/>
    </row>
    <row r="18" spans="1:14" ht="15.75" customHeight="1" x14ac:dyDescent="0.3">
      <c r="A18" s="66"/>
      <c r="B18" s="66"/>
      <c r="C18" s="66"/>
      <c r="D18" s="95"/>
      <c r="E18" s="96"/>
      <c r="F18" s="96"/>
      <c r="G18" s="96"/>
      <c r="H18" s="96"/>
    </row>
    <row r="19" spans="1:14" ht="14.25" customHeight="1" x14ac:dyDescent="0.25">
      <c r="A19" s="66"/>
      <c r="B19" s="66"/>
      <c r="C19" s="97"/>
      <c r="D19" s="67"/>
      <c r="E19" s="66"/>
      <c r="F19" s="134"/>
      <c r="G19" s="134"/>
      <c r="H19" s="66"/>
    </row>
    <row r="20" spans="1:14" ht="16.5" x14ac:dyDescent="0.3">
      <c r="A20" s="66"/>
      <c r="B20" s="98"/>
      <c r="C20" s="99" t="s">
        <v>536</v>
      </c>
      <c r="D20" s="100"/>
      <c r="E20" s="100">
        <f ca="1">PMT(E13,E12,-E11)+2219*E11/1000000+E15</f>
        <v>638867.97397442698</v>
      </c>
      <c r="F20" s="134"/>
      <c r="G20" s="134"/>
      <c r="H20" s="101"/>
    </row>
    <row r="21" spans="1:14" ht="11.25" customHeight="1" x14ac:dyDescent="0.35">
      <c r="A21" s="66"/>
      <c r="B21" s="66"/>
      <c r="C21" s="102"/>
      <c r="D21" s="103"/>
      <c r="E21" s="104" t="s">
        <v>537</v>
      </c>
      <c r="F21" s="104"/>
      <c r="G21" s="104"/>
      <c r="H21" s="104"/>
      <c r="I21" s="104"/>
      <c r="L21" s="105"/>
    </row>
    <row r="22" spans="1:14" ht="13.5" customHeight="1" x14ac:dyDescent="0.35">
      <c r="A22" s="66"/>
      <c r="B22" s="66"/>
      <c r="C22" s="66"/>
      <c r="D22" s="103"/>
      <c r="E22" s="106" t="s">
        <v>538</v>
      </c>
      <c r="F22" s="104"/>
      <c r="G22" s="104"/>
      <c r="H22" s="104"/>
      <c r="I22" s="104"/>
      <c r="L22" s="105"/>
    </row>
    <row r="23" spans="1:14" ht="13.5" customHeight="1" x14ac:dyDescent="0.35">
      <c r="A23" s="66"/>
      <c r="B23" s="66"/>
      <c r="C23" s="66"/>
      <c r="D23" s="103"/>
      <c r="E23" s="106"/>
      <c r="F23" s="104"/>
      <c r="G23" s="104"/>
      <c r="H23" s="104"/>
      <c r="I23" s="104"/>
      <c r="L23" s="105"/>
    </row>
    <row r="24" spans="1:14" ht="22.5" customHeight="1" x14ac:dyDescent="0.35">
      <c r="A24" s="66"/>
      <c r="B24" s="66"/>
      <c r="C24" s="66"/>
      <c r="D24" s="103"/>
      <c r="E24" s="106"/>
      <c r="F24" s="104"/>
      <c r="G24" s="104"/>
      <c r="H24" s="104"/>
      <c r="I24" s="104"/>
      <c r="L24" s="105"/>
    </row>
    <row r="25" spans="1:14" ht="23.25" customHeight="1" x14ac:dyDescent="0.35">
      <c r="A25" s="66"/>
      <c r="B25" s="66"/>
      <c r="C25" s="66"/>
      <c r="D25" s="103"/>
      <c r="E25" s="106"/>
      <c r="F25" s="104"/>
      <c r="G25" s="104"/>
      <c r="H25" s="104"/>
      <c r="I25" s="104"/>
      <c r="L25" s="105"/>
    </row>
    <row r="26" spans="1:14" ht="15" customHeight="1" x14ac:dyDescent="0.35">
      <c r="A26" s="66"/>
      <c r="B26" s="66"/>
      <c r="C26" s="66"/>
      <c r="D26" s="103"/>
      <c r="E26" s="106"/>
      <c r="F26" s="104"/>
      <c r="G26" s="104"/>
      <c r="H26" s="104"/>
      <c r="I26" s="104"/>
      <c r="L26" s="105"/>
    </row>
    <row r="27" spans="1:14" ht="13.5" customHeight="1" x14ac:dyDescent="0.35">
      <c r="A27" s="66"/>
      <c r="B27" s="66"/>
      <c r="C27" s="66"/>
      <c r="D27" s="103"/>
      <c r="E27" s="106"/>
      <c r="F27" s="104"/>
      <c r="G27" s="107" t="s">
        <v>539</v>
      </c>
      <c r="H27" s="104"/>
      <c r="I27" s="104"/>
      <c r="L27" s="105"/>
    </row>
    <row r="28" spans="1:14" ht="16.5" customHeight="1" x14ac:dyDescent="0.35">
      <c r="A28" s="66"/>
      <c r="E28" s="66"/>
      <c r="F28" s="66"/>
      <c r="G28" s="109">
        <f>E9</f>
        <v>1785000</v>
      </c>
      <c r="H28" s="66"/>
      <c r="I28" s="104" t="s">
        <v>537</v>
      </c>
      <c r="J28" s="110"/>
      <c r="K28" s="111" t="s">
        <v>537</v>
      </c>
      <c r="L28" s="105"/>
    </row>
    <row r="29" spans="1:14" ht="18" x14ac:dyDescent="0.35">
      <c r="A29" s="66"/>
      <c r="E29" s="112"/>
      <c r="F29" s="112"/>
      <c r="G29" s="112"/>
      <c r="H29" s="112"/>
      <c r="I29" s="113"/>
      <c r="J29" s="113"/>
      <c r="K29" s="113"/>
      <c r="L29" s="114"/>
      <c r="M29" s="113"/>
      <c r="N29" s="115"/>
    </row>
    <row r="30" spans="1:14" ht="18" x14ac:dyDescent="0.35">
      <c r="A30" s="66"/>
      <c r="B30" s="66"/>
      <c r="C30" s="66"/>
      <c r="D30" s="67"/>
      <c r="E30" s="66"/>
      <c r="F30" s="66"/>
      <c r="G30" s="66"/>
      <c r="H30" s="66"/>
      <c r="N30" s="115"/>
    </row>
    <row r="31" spans="1:14" ht="18" x14ac:dyDescent="0.35">
      <c r="A31" s="66"/>
      <c r="B31" s="66"/>
      <c r="C31" s="66"/>
      <c r="D31" s="67"/>
      <c r="E31" s="66"/>
      <c r="F31" s="66"/>
      <c r="G31" s="66"/>
      <c r="H31" s="66"/>
      <c r="N31" s="115"/>
    </row>
    <row r="32" spans="1:14" ht="16.5" x14ac:dyDescent="0.35">
      <c r="A32" s="66"/>
      <c r="B32" s="66"/>
      <c r="C32" s="66"/>
      <c r="D32" s="67"/>
      <c r="E32" s="66"/>
      <c r="F32" s="66"/>
      <c r="G32" s="66"/>
      <c r="H32" s="66"/>
      <c r="N32" s="116"/>
    </row>
    <row r="33" spans="1:14" ht="18" x14ac:dyDescent="0.35">
      <c r="A33" s="66"/>
      <c r="B33" s="66"/>
      <c r="C33" s="66"/>
      <c r="D33" s="67"/>
      <c r="E33" s="66"/>
      <c r="F33" s="66"/>
      <c r="G33" s="66"/>
      <c r="H33" s="66"/>
      <c r="N33" s="115"/>
    </row>
    <row r="34" spans="1:14" ht="18" x14ac:dyDescent="0.35">
      <c r="A34" s="66"/>
      <c r="B34" s="66"/>
      <c r="C34" s="66"/>
      <c r="D34" s="67"/>
      <c r="E34" s="66"/>
      <c r="F34" s="66"/>
      <c r="G34" s="66"/>
      <c r="H34" s="66"/>
      <c r="N34" s="117"/>
    </row>
    <row r="35" spans="1:14" ht="18" x14ac:dyDescent="0.35">
      <c r="A35" s="66"/>
      <c r="B35" s="66"/>
      <c r="C35" s="66"/>
      <c r="D35" s="67"/>
      <c r="E35" s="66"/>
      <c r="F35" s="66"/>
      <c r="G35" s="66"/>
      <c r="H35" s="66"/>
      <c r="N35" s="117"/>
    </row>
    <row r="36" spans="1:14" ht="15" x14ac:dyDescent="0.25">
      <c r="A36" s="66"/>
      <c r="B36" s="66"/>
      <c r="C36" s="66"/>
      <c r="D36" s="67"/>
      <c r="E36" s="66"/>
      <c r="F36" s="66"/>
      <c r="G36" s="66"/>
      <c r="H36" s="66"/>
    </row>
    <row r="37" spans="1:14" ht="15" x14ac:dyDescent="0.25">
      <c r="A37" s="66"/>
      <c r="B37" s="66"/>
      <c r="C37" s="66"/>
      <c r="D37" s="67"/>
      <c r="E37" s="66"/>
      <c r="F37" s="66"/>
      <c r="G37" s="66"/>
      <c r="H37" s="66"/>
    </row>
    <row r="38" spans="1:14" ht="15" x14ac:dyDescent="0.25">
      <c r="A38" s="66"/>
      <c r="B38" s="66"/>
      <c r="C38" s="66"/>
      <c r="D38" s="67"/>
      <c r="E38" s="66"/>
      <c r="F38" s="66"/>
      <c r="G38" s="66"/>
      <c r="H38" s="66"/>
    </row>
    <row r="39" spans="1:14" ht="19.5" customHeight="1" x14ac:dyDescent="0.25">
      <c r="A39" s="66"/>
      <c r="B39" s="66"/>
      <c r="C39" s="66"/>
      <c r="D39" s="67"/>
      <c r="E39" s="66"/>
      <c r="F39" s="66"/>
      <c r="G39" s="66"/>
      <c r="H39" s="66"/>
    </row>
    <row r="40" spans="1:14" ht="15" x14ac:dyDescent="0.25">
      <c r="A40" s="66"/>
      <c r="B40" s="66"/>
      <c r="C40" s="66"/>
      <c r="D40" s="67"/>
      <c r="E40" s="66"/>
      <c r="F40" s="66"/>
      <c r="G40" s="66"/>
      <c r="H40" s="66"/>
    </row>
    <row r="41" spans="1:14" ht="15" customHeight="1" x14ac:dyDescent="0.25"/>
    <row r="42" spans="1:14" ht="15" customHeight="1" x14ac:dyDescent="0.25"/>
    <row r="43" spans="1:14" ht="15" customHeight="1" x14ac:dyDescent="0.25"/>
  </sheetData>
  <sheetProtection password="9C19" sheet="1"/>
  <dataConsolidate/>
  <mergeCells count="4">
    <mergeCell ref="B3:E3"/>
    <mergeCell ref="F7:G8"/>
    <mergeCell ref="F16:G17"/>
    <mergeCell ref="F19:G20"/>
  </mergeCells>
  <dataValidations count="8">
    <dataValidation type="whole" allowBlank="1" showInputMessage="1" showErrorMessage="1" sqref="E8">
      <formula1>500000</formula1>
      <formula2>15000000</formula2>
    </dataValidation>
    <dataValidation allowBlank="1" showInputMessage="1" showErrorMessage="1" error="Número entero mayor a $500.000 y menor a $15'000.000_x000a_" sqref="E9 E11"/>
    <dataValidation type="whole" operator="greaterThan" allowBlank="1" showInputMessage="1" showErrorMessage="1" error="Debe ser mayor a $3'500.000" sqref="F10:G10">
      <formula1>3500000</formula1>
    </dataValidation>
    <dataValidation type="whole" allowBlank="1" showInputMessage="1" showErrorMessage="1" error="Debe ser entre 12 y 36 meses" sqref="H16:H17">
      <formula1>12</formula1>
      <formula2>36</formula2>
    </dataValidation>
    <dataValidation type="whole" allowBlank="1" showInputMessage="1" showErrorMessage="1" error="Número entero mayor a $500.000 y menor a $15'000.000_x000a_" sqref="E10">
      <formula1>500000</formula1>
      <formula2>15000000</formula2>
    </dataValidation>
    <dataValidation type="list" allowBlank="1" showInputMessage="1" showErrorMessage="1" error="Número entero entre 12 y 48 meses" sqref="E12">
      <formula1>"12,18,24,30,36,48,60,72"</formula1>
    </dataValidation>
    <dataValidation type="whole" allowBlank="1" showInputMessage="1" showErrorMessage="1" error="Sólo número entero" sqref="E15">
      <formula1>0</formula1>
      <formula2>10000000000000000000</formula2>
    </dataValidation>
    <dataValidation allowBlank="1" showInputMessage="1" showErrorMessage="1" error="Debe ser entre 12 y 36 meses" sqref="F19 F16 F11 F7"/>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Q158"/>
  <sheetViews>
    <sheetView showRowColHeaders="0" topLeftCell="A57" workbookViewId="0">
      <selection activeCell="Y3" sqref="Y3"/>
    </sheetView>
  </sheetViews>
  <sheetFormatPr baseColWidth="10" defaultRowHeight="12.75" x14ac:dyDescent="0.2"/>
  <cols>
    <col min="1" max="1" width="0.85546875" style="4" customWidth="1"/>
    <col min="2" max="2" width="2.28515625" style="4" customWidth="1"/>
    <col min="3" max="17" width="3.7109375" style="4" customWidth="1"/>
    <col min="18" max="18" width="2.28515625" style="4" customWidth="1"/>
    <col min="19" max="19" width="0.85546875" style="4" customWidth="1"/>
    <col min="20" max="20" width="2.28515625" style="4" customWidth="1"/>
    <col min="21" max="22" width="3.7109375" style="4" customWidth="1"/>
    <col min="23" max="23" width="5.7109375" style="4" customWidth="1"/>
    <col min="24" max="24" width="4.7109375" style="4" customWidth="1"/>
    <col min="25" max="26" width="3.7109375" style="4" customWidth="1"/>
    <col min="27" max="27" width="1.7109375" style="4" customWidth="1"/>
    <col min="28" max="28" width="3.7109375" style="4" customWidth="1"/>
    <col min="29" max="29" width="1.7109375" style="4" customWidth="1"/>
    <col min="30" max="30" width="3.7109375" style="4" customWidth="1"/>
    <col min="31" max="31" width="2.28515625" style="4" customWidth="1"/>
    <col min="32" max="32" width="0.85546875" style="4" customWidth="1"/>
    <col min="33" max="33" width="3.7109375" style="4" customWidth="1"/>
    <col min="34" max="16384" width="11.42578125" style="4"/>
  </cols>
  <sheetData>
    <row r="1" spans="1:32" ht="4.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9.9499999999999993" customHeight="1" x14ac:dyDescent="0.2">
      <c r="A2" s="3"/>
      <c r="I2" s="213" t="s">
        <v>114</v>
      </c>
      <c r="J2" s="213"/>
      <c r="K2" s="213"/>
      <c r="L2" s="213"/>
      <c r="M2" s="213"/>
      <c r="N2" s="213"/>
      <c r="O2" s="213"/>
      <c r="P2" s="213"/>
      <c r="Q2" s="213"/>
      <c r="R2" s="213"/>
      <c r="S2" s="213"/>
      <c r="T2" s="213"/>
      <c r="U2" s="213"/>
      <c r="V2" s="213"/>
      <c r="W2" s="213"/>
      <c r="X2" s="213"/>
      <c r="Y2" s="19" t="s">
        <v>521</v>
      </c>
      <c r="AF2" s="3"/>
    </row>
    <row r="3" spans="1:32" ht="9.9499999999999993" customHeight="1" x14ac:dyDescent="0.2">
      <c r="A3" s="3"/>
      <c r="I3" s="213"/>
      <c r="J3" s="213"/>
      <c r="K3" s="213"/>
      <c r="L3" s="213"/>
      <c r="M3" s="213"/>
      <c r="N3" s="213"/>
      <c r="O3" s="213"/>
      <c r="P3" s="213"/>
      <c r="Q3" s="213"/>
      <c r="R3" s="213"/>
      <c r="S3" s="213"/>
      <c r="T3" s="213"/>
      <c r="U3" s="213"/>
      <c r="V3" s="213"/>
      <c r="W3" s="213"/>
      <c r="X3" s="213"/>
      <c r="AF3" s="3"/>
    </row>
    <row r="4" spans="1:32" ht="9.9499999999999993" customHeight="1" x14ac:dyDescent="0.2">
      <c r="A4" s="3"/>
      <c r="J4" s="214" t="s">
        <v>31</v>
      </c>
      <c r="K4" s="214"/>
      <c r="L4" s="214"/>
      <c r="M4" s="214"/>
      <c r="N4" s="214"/>
      <c r="O4" s="214"/>
      <c r="P4" s="214"/>
      <c r="Q4" s="214"/>
      <c r="R4" s="214"/>
      <c r="S4" s="214"/>
      <c r="T4" s="214"/>
      <c r="U4" s="214"/>
      <c r="V4" s="214"/>
      <c r="AF4" s="3"/>
    </row>
    <row r="5" spans="1:32" ht="9.9499999999999993" customHeight="1" x14ac:dyDescent="0.2">
      <c r="A5" s="3"/>
      <c r="J5" s="214"/>
      <c r="K5" s="214"/>
      <c r="L5" s="214"/>
      <c r="M5" s="214"/>
      <c r="N5" s="214"/>
      <c r="O5" s="214"/>
      <c r="P5" s="214"/>
      <c r="Q5" s="214"/>
      <c r="R5" s="214"/>
      <c r="S5" s="214"/>
      <c r="T5" s="214"/>
      <c r="U5" s="214"/>
      <c r="V5" s="214"/>
      <c r="AF5" s="3"/>
    </row>
    <row r="6" spans="1:32" ht="9.9499999999999993" customHeight="1" x14ac:dyDescent="0.2">
      <c r="A6" s="3"/>
      <c r="J6" s="215"/>
      <c r="K6" s="215"/>
      <c r="L6" s="215"/>
      <c r="M6" s="215"/>
      <c r="N6" s="215"/>
      <c r="O6" s="215"/>
      <c r="P6" s="215"/>
      <c r="Q6" s="215"/>
      <c r="R6" s="215"/>
      <c r="S6" s="215"/>
      <c r="T6" s="215"/>
      <c r="U6" s="215"/>
      <c r="V6" s="215"/>
      <c r="AF6" s="3"/>
    </row>
    <row r="7" spans="1:32" ht="9.9499999999999993" customHeight="1" x14ac:dyDescent="0.2">
      <c r="A7" s="3"/>
      <c r="J7" s="216" t="s">
        <v>177</v>
      </c>
      <c r="K7" s="216"/>
      <c r="L7" s="216"/>
      <c r="M7" s="216"/>
      <c r="N7" s="216"/>
      <c r="O7" s="216"/>
      <c r="P7" s="216"/>
      <c r="Q7" s="216"/>
      <c r="R7" s="216"/>
      <c r="S7" s="216"/>
      <c r="T7" s="216"/>
      <c r="U7" s="216"/>
      <c r="V7" s="216"/>
      <c r="AF7" s="3"/>
    </row>
    <row r="8" spans="1:32" ht="9.9499999999999993" customHeight="1" x14ac:dyDescent="0.2">
      <c r="A8" s="3"/>
      <c r="J8" s="217"/>
      <c r="K8" s="217"/>
      <c r="L8" s="217"/>
      <c r="M8" s="217"/>
      <c r="N8" s="217"/>
      <c r="O8" s="217"/>
      <c r="P8" s="217"/>
      <c r="Q8" s="217"/>
      <c r="R8" s="217"/>
      <c r="S8" s="217"/>
      <c r="T8" s="217"/>
      <c r="U8" s="217"/>
      <c r="V8" s="217"/>
      <c r="X8" s="213"/>
      <c r="Y8" s="213"/>
      <c r="Z8" s="213"/>
      <c r="AA8" s="213"/>
      <c r="AB8" s="213"/>
      <c r="AC8" s="213"/>
      <c r="AD8" s="213"/>
      <c r="AF8" s="3"/>
    </row>
    <row r="9" spans="1:32" ht="9.9499999999999993" customHeight="1" x14ac:dyDescent="0.2">
      <c r="A9" s="3"/>
      <c r="J9" s="217"/>
      <c r="K9" s="217"/>
      <c r="L9" s="217"/>
      <c r="M9" s="217"/>
      <c r="N9" s="217"/>
      <c r="O9" s="217"/>
      <c r="P9" s="217"/>
      <c r="Q9" s="217"/>
      <c r="R9" s="217"/>
      <c r="S9" s="217"/>
      <c r="T9" s="217"/>
      <c r="U9" s="217"/>
      <c r="V9" s="217"/>
      <c r="X9" s="213"/>
      <c r="Y9" s="213"/>
      <c r="Z9" s="213"/>
      <c r="AA9" s="213"/>
      <c r="AB9" s="213"/>
      <c r="AC9" s="213"/>
      <c r="AD9" s="213"/>
      <c r="AE9" s="5"/>
      <c r="AF9" s="3"/>
    </row>
    <row r="10" spans="1:32" ht="4.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8.1" customHeight="1" x14ac:dyDescent="0.25">
      <c r="A11" s="3"/>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3"/>
    </row>
    <row r="12" spans="1:32" ht="12.95" customHeight="1" x14ac:dyDescent="0.25">
      <c r="A12" s="3"/>
      <c r="B12" s="6"/>
      <c r="C12" s="143" t="str">
        <f>CONCATENATE(Cotizador!C2,"    ","Id"," ",Cotizador!C3)</f>
        <v>GILBERTO MONTOYA    Id 4543532</v>
      </c>
      <c r="D12" s="143"/>
      <c r="E12" s="143"/>
      <c r="F12" s="143"/>
      <c r="G12" s="143"/>
      <c r="H12" s="143"/>
      <c r="I12" s="143"/>
      <c r="J12" s="143"/>
      <c r="K12" s="143"/>
      <c r="L12" s="143"/>
      <c r="M12" s="143"/>
      <c r="N12" s="143"/>
      <c r="O12" s="143"/>
      <c r="P12" s="143"/>
      <c r="Q12" s="6"/>
      <c r="R12" s="6"/>
      <c r="S12" s="6"/>
      <c r="T12" s="6"/>
      <c r="U12" s="6"/>
      <c r="V12" s="6"/>
      <c r="W12" s="6"/>
      <c r="X12" s="218" t="s">
        <v>11</v>
      </c>
      <c r="Y12" s="218"/>
      <c r="Z12" s="230">
        <f ca="1">TODAY()</f>
        <v>43124</v>
      </c>
      <c r="AA12" s="230"/>
      <c r="AB12" s="230"/>
      <c r="AC12" s="230"/>
      <c r="AD12" s="6"/>
      <c r="AE12" s="6"/>
      <c r="AF12" s="3"/>
    </row>
    <row r="13" spans="1:32" ht="8.1" customHeight="1" x14ac:dyDescent="0.25">
      <c r="A13" s="3"/>
      <c r="B13" s="6"/>
      <c r="C13" s="7"/>
      <c r="D13" s="7"/>
      <c r="E13" s="7"/>
      <c r="F13" s="7"/>
      <c r="G13" s="7"/>
      <c r="H13" s="7"/>
      <c r="I13" s="7"/>
      <c r="J13" s="7"/>
      <c r="K13" s="7"/>
      <c r="L13" s="7"/>
      <c r="M13" s="7"/>
      <c r="N13" s="6"/>
      <c r="O13" s="6"/>
      <c r="P13" s="6"/>
      <c r="Q13" s="6"/>
      <c r="R13" s="6"/>
      <c r="S13" s="6"/>
      <c r="T13" s="6"/>
      <c r="U13" s="6"/>
      <c r="V13" s="6"/>
      <c r="W13" s="6"/>
      <c r="X13" s="6"/>
      <c r="Y13" s="6"/>
      <c r="Z13" s="6"/>
      <c r="AA13" s="6"/>
      <c r="AB13" s="6"/>
      <c r="AC13" s="6"/>
      <c r="AD13" s="6"/>
      <c r="AE13" s="6"/>
      <c r="AF13" s="3"/>
    </row>
    <row r="14" spans="1:32" ht="9" customHeight="1" x14ac:dyDescent="0.25">
      <c r="A14" s="3"/>
      <c r="B14" s="6"/>
      <c r="C14" s="231" t="s">
        <v>108</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6"/>
      <c r="AF14" s="3"/>
    </row>
    <row r="15" spans="1:32" ht="9" customHeight="1" x14ac:dyDescent="0.25">
      <c r="A15" s="3"/>
      <c r="B15" s="6"/>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6"/>
      <c r="AF15" s="3"/>
    </row>
    <row r="16" spans="1:32" ht="9" customHeight="1" x14ac:dyDescent="0.25">
      <c r="A16" s="3"/>
      <c r="B16" s="6"/>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6"/>
      <c r="AF16" s="3"/>
    </row>
    <row r="17" spans="1:43" ht="9" customHeight="1" x14ac:dyDescent="0.25">
      <c r="A17" s="3"/>
      <c r="B17" s="6"/>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6"/>
      <c r="AF17" s="3"/>
    </row>
    <row r="18" spans="1:43" ht="18" customHeight="1" x14ac:dyDescent="0.25">
      <c r="A18" s="3"/>
      <c r="B18" s="6"/>
      <c r="C18" s="210" t="s">
        <v>32</v>
      </c>
      <c r="D18" s="210"/>
      <c r="E18" s="210"/>
      <c r="F18" s="210"/>
      <c r="G18" s="210"/>
      <c r="H18" s="210"/>
      <c r="I18" s="210"/>
      <c r="J18" s="210"/>
      <c r="K18" s="6"/>
      <c r="L18" s="6"/>
      <c r="M18" s="6"/>
      <c r="N18" s="6"/>
      <c r="O18" s="6"/>
      <c r="P18" s="6"/>
      <c r="Q18" s="6"/>
      <c r="R18" s="6"/>
      <c r="S18" s="212" t="s">
        <v>33</v>
      </c>
      <c r="T18" s="212"/>
      <c r="U18" s="212"/>
      <c r="V18" s="212"/>
      <c r="W18" s="212"/>
      <c r="X18" s="212" t="s">
        <v>34</v>
      </c>
      <c r="Y18" s="212"/>
      <c r="Z18" s="212"/>
      <c r="AA18" s="212"/>
      <c r="AB18" s="212"/>
      <c r="AC18" s="212"/>
      <c r="AD18" s="212"/>
      <c r="AE18" s="6"/>
      <c r="AF18" s="3"/>
    </row>
    <row r="19" spans="1:43" ht="11.1" customHeight="1" x14ac:dyDescent="0.25">
      <c r="A19" s="3"/>
      <c r="B19" s="6"/>
      <c r="C19" s="219" t="s">
        <v>49</v>
      </c>
      <c r="D19" s="220"/>
      <c r="E19" s="220"/>
      <c r="F19" s="220"/>
      <c r="G19" s="220"/>
      <c r="H19" s="220"/>
      <c r="I19" s="220"/>
      <c r="J19" s="220"/>
      <c r="K19" s="220"/>
      <c r="L19" s="220"/>
      <c r="M19" s="220"/>
      <c r="N19" s="220"/>
      <c r="O19" s="220"/>
      <c r="P19" s="220"/>
      <c r="Q19" s="220"/>
      <c r="R19" s="221"/>
      <c r="S19" s="228" t="str">
        <f>Cotizador!E15</f>
        <v>$320.000.000</v>
      </c>
      <c r="T19" s="228"/>
      <c r="U19" s="228"/>
      <c r="V19" s="228"/>
      <c r="W19" s="228"/>
      <c r="X19" s="229" t="str">
        <f>+Cotizador!F15</f>
        <v>0% - 0</v>
      </c>
      <c r="Y19" s="229"/>
      <c r="Z19" s="229"/>
      <c r="AA19" s="229"/>
      <c r="AB19" s="229"/>
      <c r="AC19" s="229"/>
      <c r="AD19" s="229"/>
      <c r="AE19" s="6"/>
      <c r="AF19" s="3"/>
      <c r="AM19" s="151">
        <v>150000000</v>
      </c>
      <c r="AN19" s="151"/>
      <c r="AO19" s="151"/>
      <c r="AP19" s="151"/>
      <c r="AQ19" s="151"/>
    </row>
    <row r="20" spans="1:43" ht="11.1" customHeight="1" x14ac:dyDescent="0.25">
      <c r="A20" s="3"/>
      <c r="B20" s="6"/>
      <c r="C20" s="222"/>
      <c r="D20" s="223"/>
      <c r="E20" s="223"/>
      <c r="F20" s="223"/>
      <c r="G20" s="223"/>
      <c r="H20" s="223"/>
      <c r="I20" s="223"/>
      <c r="J20" s="223"/>
      <c r="K20" s="223"/>
      <c r="L20" s="223"/>
      <c r="M20" s="223"/>
      <c r="N20" s="223"/>
      <c r="O20" s="223"/>
      <c r="P20" s="223"/>
      <c r="Q20" s="223"/>
      <c r="R20" s="224"/>
      <c r="S20" s="228"/>
      <c r="T20" s="228"/>
      <c r="U20" s="228"/>
      <c r="V20" s="228"/>
      <c r="W20" s="228"/>
      <c r="X20" s="229"/>
      <c r="Y20" s="229"/>
      <c r="Z20" s="229"/>
      <c r="AA20" s="229"/>
      <c r="AB20" s="229"/>
      <c r="AC20" s="229"/>
      <c r="AD20" s="229"/>
      <c r="AE20" s="6"/>
      <c r="AF20" s="3"/>
      <c r="AM20" s="151"/>
      <c r="AN20" s="151"/>
      <c r="AO20" s="151"/>
      <c r="AP20" s="151"/>
      <c r="AQ20" s="151"/>
    </row>
    <row r="21" spans="1:43" ht="11.1" customHeight="1" x14ac:dyDescent="0.25">
      <c r="A21" s="3"/>
      <c r="B21" s="6"/>
      <c r="C21" s="222"/>
      <c r="D21" s="223"/>
      <c r="E21" s="223"/>
      <c r="F21" s="223"/>
      <c r="G21" s="223"/>
      <c r="H21" s="223"/>
      <c r="I21" s="223"/>
      <c r="J21" s="223"/>
      <c r="K21" s="223"/>
      <c r="L21" s="223"/>
      <c r="M21" s="223"/>
      <c r="N21" s="223"/>
      <c r="O21" s="223"/>
      <c r="P21" s="223"/>
      <c r="Q21" s="223"/>
      <c r="R21" s="224"/>
      <c r="S21" s="228"/>
      <c r="T21" s="228"/>
      <c r="U21" s="228"/>
      <c r="V21" s="228"/>
      <c r="W21" s="228"/>
      <c r="X21" s="229"/>
      <c r="Y21" s="229"/>
      <c r="Z21" s="229"/>
      <c r="AA21" s="229"/>
      <c r="AB21" s="229"/>
      <c r="AC21" s="229"/>
      <c r="AD21" s="229"/>
      <c r="AE21" s="6"/>
      <c r="AF21" s="3"/>
      <c r="AM21" s="151"/>
      <c r="AN21" s="151"/>
      <c r="AO21" s="151"/>
      <c r="AP21" s="151"/>
      <c r="AQ21" s="151"/>
    </row>
    <row r="22" spans="1:43" ht="11.1" customHeight="1" x14ac:dyDescent="0.25">
      <c r="A22" s="3"/>
      <c r="B22" s="6"/>
      <c r="C22" s="222"/>
      <c r="D22" s="223"/>
      <c r="E22" s="223"/>
      <c r="F22" s="223"/>
      <c r="G22" s="223"/>
      <c r="H22" s="223"/>
      <c r="I22" s="223"/>
      <c r="J22" s="223"/>
      <c r="K22" s="223"/>
      <c r="L22" s="223"/>
      <c r="M22" s="223"/>
      <c r="N22" s="223"/>
      <c r="O22" s="223"/>
      <c r="P22" s="223"/>
      <c r="Q22" s="223"/>
      <c r="R22" s="224"/>
      <c r="S22" s="228"/>
      <c r="T22" s="228"/>
      <c r="U22" s="228"/>
      <c r="V22" s="228"/>
      <c r="W22" s="228"/>
      <c r="X22" s="229"/>
      <c r="Y22" s="229"/>
      <c r="Z22" s="229"/>
      <c r="AA22" s="229"/>
      <c r="AB22" s="229"/>
      <c r="AC22" s="229"/>
      <c r="AD22" s="229"/>
      <c r="AE22" s="6"/>
      <c r="AF22" s="3"/>
      <c r="AM22" s="151"/>
      <c r="AN22" s="151"/>
      <c r="AO22" s="151"/>
      <c r="AP22" s="151"/>
      <c r="AQ22" s="151"/>
    </row>
    <row r="23" spans="1:43" ht="11.1" customHeight="1" x14ac:dyDescent="0.25">
      <c r="A23" s="3"/>
      <c r="B23" s="6"/>
      <c r="C23" s="222"/>
      <c r="D23" s="223"/>
      <c r="E23" s="223"/>
      <c r="F23" s="223"/>
      <c r="G23" s="223"/>
      <c r="H23" s="223"/>
      <c r="I23" s="223"/>
      <c r="J23" s="223"/>
      <c r="K23" s="223"/>
      <c r="L23" s="223"/>
      <c r="M23" s="223"/>
      <c r="N23" s="223"/>
      <c r="O23" s="223"/>
      <c r="P23" s="223"/>
      <c r="Q23" s="223"/>
      <c r="R23" s="224"/>
      <c r="S23" s="228"/>
      <c r="T23" s="228"/>
      <c r="U23" s="228"/>
      <c r="V23" s="228"/>
      <c r="W23" s="228"/>
      <c r="X23" s="229"/>
      <c r="Y23" s="229"/>
      <c r="Z23" s="229"/>
      <c r="AA23" s="229"/>
      <c r="AB23" s="229"/>
      <c r="AC23" s="229"/>
      <c r="AD23" s="229"/>
      <c r="AE23" s="6"/>
      <c r="AF23" s="3"/>
      <c r="AM23" s="151"/>
      <c r="AN23" s="151"/>
      <c r="AO23" s="151"/>
      <c r="AP23" s="151"/>
      <c r="AQ23" s="151"/>
    </row>
    <row r="24" spans="1:43" ht="11.1" customHeight="1" x14ac:dyDescent="0.25">
      <c r="A24" s="3"/>
      <c r="B24" s="6"/>
      <c r="C24" s="225"/>
      <c r="D24" s="226"/>
      <c r="E24" s="226"/>
      <c r="F24" s="226"/>
      <c r="G24" s="226"/>
      <c r="H24" s="226"/>
      <c r="I24" s="226"/>
      <c r="J24" s="226"/>
      <c r="K24" s="226"/>
      <c r="L24" s="226"/>
      <c r="M24" s="226"/>
      <c r="N24" s="226"/>
      <c r="O24" s="226"/>
      <c r="P24" s="226"/>
      <c r="Q24" s="226"/>
      <c r="R24" s="227"/>
      <c r="S24" s="228"/>
      <c r="T24" s="228"/>
      <c r="U24" s="228"/>
      <c r="V24" s="228"/>
      <c r="W24" s="228"/>
      <c r="X24" s="229"/>
      <c r="Y24" s="229"/>
      <c r="Z24" s="229"/>
      <c r="AA24" s="229"/>
      <c r="AB24" s="229"/>
      <c r="AC24" s="229"/>
      <c r="AD24" s="229"/>
      <c r="AE24" s="6"/>
      <c r="AF24" s="3"/>
      <c r="AM24" s="151"/>
      <c r="AN24" s="151"/>
      <c r="AO24" s="151"/>
      <c r="AP24" s="151"/>
      <c r="AQ24" s="151"/>
    </row>
    <row r="25" spans="1:43" ht="9.9499999999999993" customHeight="1" x14ac:dyDescent="0.25">
      <c r="A25" s="3"/>
      <c r="B25" s="6"/>
      <c r="C25" s="197" t="s">
        <v>109</v>
      </c>
      <c r="D25" s="198"/>
      <c r="E25" s="198"/>
      <c r="F25" s="198"/>
      <c r="G25" s="198"/>
      <c r="H25" s="198"/>
      <c r="I25" s="198"/>
      <c r="J25" s="198"/>
      <c r="K25" s="198"/>
      <c r="L25" s="199"/>
      <c r="M25" s="206" t="s">
        <v>35</v>
      </c>
      <c r="N25" s="206"/>
      <c r="O25" s="206"/>
      <c r="P25" s="206"/>
      <c r="Q25" s="206"/>
      <c r="R25" s="207"/>
      <c r="S25" s="177">
        <f>+Cotizador!E16</f>
        <v>10000000</v>
      </c>
      <c r="T25" s="178"/>
      <c r="U25" s="178"/>
      <c r="V25" s="178"/>
      <c r="W25" s="179"/>
      <c r="X25" s="190" t="str">
        <f>+Cotizador!F16</f>
        <v>30% - min 1 SMMLV</v>
      </c>
      <c r="Y25" s="191"/>
      <c r="Z25" s="191"/>
      <c r="AA25" s="191"/>
      <c r="AB25" s="191"/>
      <c r="AC25" s="191"/>
      <c r="AD25" s="192"/>
      <c r="AE25" s="6"/>
      <c r="AF25" s="3"/>
    </row>
    <row r="26" spans="1:43" ht="9.9499999999999993" customHeight="1" x14ac:dyDescent="0.25">
      <c r="A26" s="3"/>
      <c r="B26" s="6"/>
      <c r="C26" s="200"/>
      <c r="D26" s="201"/>
      <c r="E26" s="201"/>
      <c r="F26" s="201"/>
      <c r="G26" s="201"/>
      <c r="H26" s="201"/>
      <c r="I26" s="201"/>
      <c r="J26" s="201"/>
      <c r="K26" s="201"/>
      <c r="L26" s="202"/>
      <c r="M26" s="208"/>
      <c r="N26" s="208"/>
      <c r="O26" s="208"/>
      <c r="P26" s="208"/>
      <c r="Q26" s="208"/>
      <c r="R26" s="209"/>
      <c r="S26" s="180"/>
      <c r="T26" s="181"/>
      <c r="U26" s="181"/>
      <c r="V26" s="181"/>
      <c r="W26" s="182"/>
      <c r="X26" s="193"/>
      <c r="Y26" s="194"/>
      <c r="Z26" s="194"/>
      <c r="AA26" s="194"/>
      <c r="AB26" s="194"/>
      <c r="AC26" s="194"/>
      <c r="AD26" s="195"/>
      <c r="AE26" s="6"/>
      <c r="AF26" s="3"/>
    </row>
    <row r="27" spans="1:43" ht="9.9499999999999993" customHeight="1" x14ac:dyDescent="0.25">
      <c r="A27" s="3"/>
      <c r="B27" s="6"/>
      <c r="C27" s="200"/>
      <c r="D27" s="201"/>
      <c r="E27" s="201"/>
      <c r="F27" s="201"/>
      <c r="G27" s="201"/>
      <c r="H27" s="201"/>
      <c r="I27" s="201"/>
      <c r="J27" s="201"/>
      <c r="K27" s="201"/>
      <c r="L27" s="202"/>
      <c r="M27" s="184" t="s">
        <v>36</v>
      </c>
      <c r="N27" s="185"/>
      <c r="O27" s="185"/>
      <c r="P27" s="185"/>
      <c r="Q27" s="185"/>
      <c r="R27" s="186"/>
      <c r="S27" s="177">
        <f>+Cotizador!E17</f>
        <v>10000000</v>
      </c>
      <c r="T27" s="178"/>
      <c r="U27" s="178"/>
      <c r="V27" s="178"/>
      <c r="W27" s="179"/>
      <c r="X27" s="190" t="str">
        <f>+Cotizador!F17</f>
        <v>30% - min 0 SMMLV</v>
      </c>
      <c r="Y27" s="191"/>
      <c r="Z27" s="191"/>
      <c r="AA27" s="191"/>
      <c r="AB27" s="191"/>
      <c r="AC27" s="191"/>
      <c r="AD27" s="192"/>
      <c r="AE27" s="6"/>
      <c r="AF27" s="3"/>
    </row>
    <row r="28" spans="1:43" ht="9.9499999999999993" customHeight="1" x14ac:dyDescent="0.25">
      <c r="A28" s="3"/>
      <c r="B28" s="6"/>
      <c r="C28" s="203"/>
      <c r="D28" s="204"/>
      <c r="E28" s="204"/>
      <c r="F28" s="204"/>
      <c r="G28" s="204"/>
      <c r="H28" s="204"/>
      <c r="I28" s="204"/>
      <c r="J28" s="204"/>
      <c r="K28" s="204"/>
      <c r="L28" s="205"/>
      <c r="M28" s="187"/>
      <c r="N28" s="188"/>
      <c r="O28" s="188"/>
      <c r="P28" s="188"/>
      <c r="Q28" s="188"/>
      <c r="R28" s="189"/>
      <c r="S28" s="180"/>
      <c r="T28" s="181"/>
      <c r="U28" s="181"/>
      <c r="V28" s="181"/>
      <c r="W28" s="182"/>
      <c r="X28" s="193"/>
      <c r="Y28" s="194"/>
      <c r="Z28" s="194"/>
      <c r="AA28" s="194"/>
      <c r="AB28" s="194"/>
      <c r="AC28" s="194"/>
      <c r="AD28" s="195"/>
      <c r="AE28" s="6"/>
      <c r="AF28" s="3"/>
    </row>
    <row r="29" spans="1:43" ht="9.9499999999999993" customHeight="1" x14ac:dyDescent="0.25">
      <c r="A29" s="3"/>
      <c r="B29" s="6"/>
      <c r="C29" s="197" t="s">
        <v>97</v>
      </c>
      <c r="D29" s="198"/>
      <c r="E29" s="198"/>
      <c r="F29" s="198"/>
      <c r="G29" s="198"/>
      <c r="H29" s="198"/>
      <c r="I29" s="198"/>
      <c r="J29" s="198"/>
      <c r="K29" s="198"/>
      <c r="L29" s="199"/>
      <c r="M29" s="206" t="s">
        <v>35</v>
      </c>
      <c r="N29" s="206"/>
      <c r="O29" s="206"/>
      <c r="P29" s="206"/>
      <c r="Q29" s="206"/>
      <c r="R29" s="207"/>
      <c r="S29" s="177">
        <f>+Cotizador!E18</f>
        <v>10000000</v>
      </c>
      <c r="T29" s="178"/>
      <c r="U29" s="178"/>
      <c r="V29" s="178"/>
      <c r="W29" s="179"/>
      <c r="X29" s="190" t="str">
        <f>+Cotizador!F18</f>
        <v>30% - min 1 SMMLV</v>
      </c>
      <c r="Y29" s="191"/>
      <c r="Z29" s="191"/>
      <c r="AA29" s="191"/>
      <c r="AB29" s="191"/>
      <c r="AC29" s="191"/>
      <c r="AD29" s="192"/>
      <c r="AE29" s="6"/>
      <c r="AF29" s="3"/>
    </row>
    <row r="30" spans="1:43" ht="9.9499999999999993" customHeight="1" x14ac:dyDescent="0.25">
      <c r="A30" s="3"/>
      <c r="B30" s="6"/>
      <c r="C30" s="200"/>
      <c r="D30" s="201"/>
      <c r="E30" s="201"/>
      <c r="F30" s="201"/>
      <c r="G30" s="201"/>
      <c r="H30" s="201"/>
      <c r="I30" s="201"/>
      <c r="J30" s="201"/>
      <c r="K30" s="201"/>
      <c r="L30" s="202"/>
      <c r="M30" s="208"/>
      <c r="N30" s="208"/>
      <c r="O30" s="208"/>
      <c r="P30" s="208"/>
      <c r="Q30" s="208"/>
      <c r="R30" s="209"/>
      <c r="S30" s="180"/>
      <c r="T30" s="181"/>
      <c r="U30" s="181"/>
      <c r="V30" s="181"/>
      <c r="W30" s="182"/>
      <c r="X30" s="193"/>
      <c r="Y30" s="194"/>
      <c r="Z30" s="194"/>
      <c r="AA30" s="194"/>
      <c r="AB30" s="194"/>
      <c r="AC30" s="194"/>
      <c r="AD30" s="195"/>
      <c r="AE30" s="6"/>
      <c r="AF30" s="3"/>
    </row>
    <row r="31" spans="1:43" ht="9.9499999999999993" customHeight="1" x14ac:dyDescent="0.25">
      <c r="A31" s="3"/>
      <c r="B31" s="6"/>
      <c r="C31" s="200"/>
      <c r="D31" s="201"/>
      <c r="E31" s="201"/>
      <c r="F31" s="201"/>
      <c r="G31" s="201"/>
      <c r="H31" s="201"/>
      <c r="I31" s="201"/>
      <c r="J31" s="201"/>
      <c r="K31" s="201"/>
      <c r="L31" s="202"/>
      <c r="M31" s="184" t="s">
        <v>36</v>
      </c>
      <c r="N31" s="185"/>
      <c r="O31" s="185"/>
      <c r="P31" s="185"/>
      <c r="Q31" s="185"/>
      <c r="R31" s="186"/>
      <c r="S31" s="177">
        <f>+Cotizador!E19</f>
        <v>10000000</v>
      </c>
      <c r="T31" s="178"/>
      <c r="U31" s="178"/>
      <c r="V31" s="178"/>
      <c r="W31" s="179"/>
      <c r="X31" s="190" t="str">
        <f>+Cotizador!F19</f>
        <v>30% - min 0 SMMLV</v>
      </c>
      <c r="Y31" s="191"/>
      <c r="Z31" s="191"/>
      <c r="AA31" s="191"/>
      <c r="AB31" s="191"/>
      <c r="AC31" s="191"/>
      <c r="AD31" s="192"/>
      <c r="AE31" s="6"/>
      <c r="AF31" s="3"/>
    </row>
    <row r="32" spans="1:43" ht="9.9499999999999993" customHeight="1" x14ac:dyDescent="0.25">
      <c r="A32" s="3"/>
      <c r="B32" s="6"/>
      <c r="C32" s="203"/>
      <c r="D32" s="204"/>
      <c r="E32" s="204"/>
      <c r="F32" s="204"/>
      <c r="G32" s="204"/>
      <c r="H32" s="204"/>
      <c r="I32" s="204"/>
      <c r="J32" s="204"/>
      <c r="K32" s="204"/>
      <c r="L32" s="205"/>
      <c r="M32" s="187"/>
      <c r="N32" s="188"/>
      <c r="O32" s="188"/>
      <c r="P32" s="188"/>
      <c r="Q32" s="188"/>
      <c r="R32" s="189"/>
      <c r="S32" s="180"/>
      <c r="T32" s="181"/>
      <c r="U32" s="181"/>
      <c r="V32" s="181"/>
      <c r="W32" s="182"/>
      <c r="X32" s="193"/>
      <c r="Y32" s="194"/>
      <c r="Z32" s="194"/>
      <c r="AA32" s="194"/>
      <c r="AB32" s="194"/>
      <c r="AC32" s="194"/>
      <c r="AD32" s="195"/>
      <c r="AE32" s="6"/>
      <c r="AF32" s="3"/>
    </row>
    <row r="33" spans="1:32" ht="9.9499999999999993" customHeight="1" x14ac:dyDescent="0.25">
      <c r="A33" s="3"/>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3"/>
    </row>
    <row r="34" spans="1:32" ht="4.5" customHeight="1" x14ac:dyDescent="0.25">
      <c r="A34" s="3"/>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3"/>
    </row>
    <row r="35" spans="1:32" ht="8.1" customHeight="1" x14ac:dyDescent="0.25">
      <c r="A35" s="3"/>
      <c r="B35" s="6"/>
      <c r="C35" s="211" t="s">
        <v>37</v>
      </c>
      <c r="D35" s="211"/>
      <c r="E35" s="211"/>
      <c r="F35" s="211"/>
      <c r="G35" s="211"/>
      <c r="H35" s="211"/>
      <c r="I35" s="211"/>
      <c r="J35" s="6"/>
      <c r="K35" s="6"/>
      <c r="L35" s="6"/>
      <c r="M35" s="6"/>
      <c r="N35" s="6"/>
      <c r="O35" s="6"/>
      <c r="P35" s="6"/>
      <c r="Q35" s="6"/>
      <c r="R35" s="6"/>
      <c r="S35" s="6"/>
      <c r="T35" s="6"/>
      <c r="U35" s="6"/>
      <c r="V35" s="6"/>
      <c r="W35" s="6"/>
      <c r="X35" s="6"/>
      <c r="Y35" s="6"/>
      <c r="Z35" s="6"/>
      <c r="AA35" s="6"/>
      <c r="AB35" s="6"/>
      <c r="AC35" s="6"/>
      <c r="AD35" s="6"/>
      <c r="AE35" s="6"/>
      <c r="AF35" s="3"/>
    </row>
    <row r="36" spans="1:32" ht="15" customHeight="1" x14ac:dyDescent="0.25">
      <c r="A36" s="3"/>
      <c r="B36" s="6"/>
      <c r="C36" s="211"/>
      <c r="D36" s="211"/>
      <c r="E36" s="211"/>
      <c r="F36" s="211"/>
      <c r="G36" s="211"/>
      <c r="H36" s="211"/>
      <c r="I36" s="211"/>
      <c r="J36" s="6"/>
      <c r="K36" s="6"/>
      <c r="L36" s="6"/>
      <c r="M36" s="6"/>
      <c r="N36" s="6"/>
      <c r="O36" s="6"/>
      <c r="P36" s="6"/>
      <c r="Q36" s="6"/>
      <c r="R36" s="6"/>
      <c r="S36" s="6"/>
      <c r="T36" s="6"/>
      <c r="U36" s="6"/>
      <c r="V36" s="6"/>
      <c r="W36" s="6"/>
      <c r="X36" s="6"/>
      <c r="Y36" s="6"/>
      <c r="Z36" s="6"/>
      <c r="AA36" s="6"/>
      <c r="AB36" s="6"/>
      <c r="AC36" s="6"/>
      <c r="AD36" s="6"/>
      <c r="AE36" s="6"/>
      <c r="AF36" s="3"/>
    </row>
    <row r="37" spans="1:32" ht="8.1" customHeight="1" x14ac:dyDescent="0.25">
      <c r="A37" s="3"/>
      <c r="B37" s="6"/>
      <c r="C37" s="6"/>
      <c r="E37" s="6"/>
      <c r="F37" s="6"/>
      <c r="G37" s="6"/>
      <c r="H37" s="6"/>
      <c r="I37" s="6"/>
      <c r="J37" s="6"/>
      <c r="K37" s="6"/>
      <c r="L37" s="6"/>
      <c r="M37" s="6"/>
      <c r="N37" s="6"/>
      <c r="O37" s="6"/>
      <c r="P37" s="6"/>
      <c r="Q37" s="6"/>
      <c r="R37" s="6"/>
      <c r="S37" s="6"/>
      <c r="T37" s="6"/>
      <c r="U37" s="170" t="s">
        <v>38</v>
      </c>
      <c r="V37" s="170"/>
      <c r="W37" s="170"/>
      <c r="X37" s="170"/>
      <c r="Y37" s="170"/>
      <c r="Z37" s="170"/>
      <c r="AA37" s="170"/>
      <c r="AB37" s="170"/>
      <c r="AC37" s="170"/>
      <c r="AD37" s="170"/>
      <c r="AE37" s="6"/>
      <c r="AF37" s="3"/>
    </row>
    <row r="38" spans="1:32" ht="9.9499999999999993" customHeight="1" x14ac:dyDescent="0.25">
      <c r="A38" s="3"/>
      <c r="B38" s="6"/>
      <c r="C38" s="183" t="s">
        <v>39</v>
      </c>
      <c r="D38" s="183"/>
      <c r="E38" s="183"/>
      <c r="F38" s="183"/>
      <c r="G38" s="183"/>
      <c r="H38" s="183"/>
      <c r="I38" s="183"/>
      <c r="J38" s="183"/>
      <c r="K38" s="183"/>
      <c r="L38" s="183"/>
      <c r="M38" s="183"/>
      <c r="N38" s="183"/>
      <c r="O38" s="183"/>
      <c r="P38" s="183"/>
      <c r="Q38" s="183"/>
      <c r="R38" s="6"/>
      <c r="S38" s="6"/>
      <c r="T38" s="6"/>
      <c r="U38" s="170"/>
      <c r="V38" s="170"/>
      <c r="W38" s="170"/>
      <c r="X38" s="170"/>
      <c r="Y38" s="170"/>
      <c r="Z38" s="170"/>
      <c r="AA38" s="170"/>
      <c r="AB38" s="170"/>
      <c r="AC38" s="170"/>
      <c r="AD38" s="170"/>
      <c r="AE38" s="6"/>
      <c r="AF38" s="3"/>
    </row>
    <row r="39" spans="1:32" ht="9.9499999999999993" customHeight="1" x14ac:dyDescent="0.25">
      <c r="A39" s="3"/>
      <c r="B39" s="6"/>
      <c r="C39" s="183"/>
      <c r="D39" s="183"/>
      <c r="E39" s="183"/>
      <c r="F39" s="183"/>
      <c r="G39" s="183"/>
      <c r="H39" s="183"/>
      <c r="I39" s="183"/>
      <c r="J39" s="183"/>
      <c r="K39" s="183"/>
      <c r="L39" s="183"/>
      <c r="M39" s="183"/>
      <c r="N39" s="183"/>
      <c r="O39" s="183"/>
      <c r="P39" s="183"/>
      <c r="Q39" s="183"/>
      <c r="R39" s="6"/>
      <c r="S39" s="6"/>
      <c r="T39" s="6"/>
      <c r="U39" s="174" t="s">
        <v>18</v>
      </c>
      <c r="V39" s="174"/>
      <c r="W39" s="174"/>
      <c r="X39" s="174"/>
      <c r="Y39" s="153" t="str">
        <f>Cotizador!C4</f>
        <v>BRG900</v>
      </c>
      <c r="Z39" s="153"/>
      <c r="AA39" s="153"/>
      <c r="AB39" s="153"/>
      <c r="AC39" s="153"/>
      <c r="AD39" s="153"/>
      <c r="AE39" s="6"/>
      <c r="AF39" s="3"/>
    </row>
    <row r="40" spans="1:32" ht="9.9499999999999993" customHeight="1" x14ac:dyDescent="0.25">
      <c r="A40" s="3"/>
      <c r="B40" s="6"/>
      <c r="C40" s="183"/>
      <c r="D40" s="183"/>
      <c r="E40" s="183"/>
      <c r="F40" s="183"/>
      <c r="G40" s="183"/>
      <c r="H40" s="183"/>
      <c r="I40" s="183"/>
      <c r="J40" s="183"/>
      <c r="K40" s="183"/>
      <c r="L40" s="183"/>
      <c r="M40" s="183"/>
      <c r="N40" s="183"/>
      <c r="O40" s="183"/>
      <c r="P40" s="183"/>
      <c r="Q40" s="183"/>
      <c r="R40" s="6"/>
      <c r="S40" s="6"/>
      <c r="T40" s="6"/>
      <c r="U40" s="174"/>
      <c r="V40" s="174"/>
      <c r="W40" s="174"/>
      <c r="X40" s="174"/>
      <c r="Y40" s="153"/>
      <c r="Z40" s="153"/>
      <c r="AA40" s="153"/>
      <c r="AB40" s="153"/>
      <c r="AC40" s="153"/>
      <c r="AD40" s="153"/>
      <c r="AE40" s="6"/>
      <c r="AF40" s="3"/>
    </row>
    <row r="41" spans="1:32" ht="9.9499999999999993" customHeight="1" x14ac:dyDescent="0.25">
      <c r="A41" s="3"/>
      <c r="B41" s="6"/>
      <c r="C41" s="183"/>
      <c r="D41" s="183"/>
      <c r="E41" s="183"/>
      <c r="F41" s="183"/>
      <c r="G41" s="183"/>
      <c r="H41" s="183"/>
      <c r="I41" s="183"/>
      <c r="J41" s="183"/>
      <c r="K41" s="183"/>
      <c r="L41" s="183"/>
      <c r="M41" s="183"/>
      <c r="N41" s="183"/>
      <c r="O41" s="183"/>
      <c r="P41" s="183"/>
      <c r="Q41" s="183"/>
      <c r="R41" s="6"/>
      <c r="S41" s="6"/>
      <c r="T41" s="6"/>
      <c r="U41" s="174" t="s">
        <v>9</v>
      </c>
      <c r="V41" s="174"/>
      <c r="W41" s="174"/>
      <c r="X41" s="174"/>
      <c r="Y41" s="153">
        <f>Cotizador!C9</f>
        <v>2014</v>
      </c>
      <c r="Z41" s="153"/>
      <c r="AA41" s="153"/>
      <c r="AB41" s="153"/>
      <c r="AC41" s="153"/>
      <c r="AD41" s="153"/>
      <c r="AE41" s="6"/>
      <c r="AF41" s="3"/>
    </row>
    <row r="42" spans="1:32" ht="9.9499999999999993" customHeight="1" x14ac:dyDescent="0.25">
      <c r="A42" s="3"/>
      <c r="B42" s="6"/>
      <c r="C42" s="148" t="s">
        <v>50</v>
      </c>
      <c r="D42" s="148"/>
      <c r="E42" s="148"/>
      <c r="F42" s="148"/>
      <c r="G42" s="148"/>
      <c r="H42" s="148"/>
      <c r="I42" s="148"/>
      <c r="J42" s="148"/>
      <c r="K42" s="148"/>
      <c r="L42" s="148"/>
      <c r="M42" s="148"/>
      <c r="N42" s="148"/>
      <c r="O42" s="148"/>
      <c r="P42" s="148"/>
      <c r="Q42" s="148"/>
      <c r="R42" s="6"/>
      <c r="S42" s="6"/>
      <c r="T42" s="6"/>
      <c r="U42" s="174"/>
      <c r="V42" s="174"/>
      <c r="W42" s="174"/>
      <c r="X42" s="174"/>
      <c r="Y42" s="153"/>
      <c r="Z42" s="153"/>
      <c r="AA42" s="153"/>
      <c r="AB42" s="153"/>
      <c r="AC42" s="153"/>
      <c r="AD42" s="153"/>
      <c r="AE42" s="6"/>
      <c r="AF42" s="3"/>
    </row>
    <row r="43" spans="1:32" ht="9.9499999999999993" customHeight="1" x14ac:dyDescent="0.25">
      <c r="A43" s="3"/>
      <c r="B43" s="6"/>
      <c r="C43" s="148"/>
      <c r="D43" s="148"/>
      <c r="E43" s="148"/>
      <c r="F43" s="148"/>
      <c r="G43" s="148"/>
      <c r="H43" s="148"/>
      <c r="I43" s="148"/>
      <c r="J43" s="148"/>
      <c r="K43" s="148"/>
      <c r="L43" s="148"/>
      <c r="M43" s="148"/>
      <c r="N43" s="148"/>
      <c r="O43" s="148"/>
      <c r="P43" s="148"/>
      <c r="Q43" s="148"/>
      <c r="R43" s="6"/>
      <c r="S43" s="6"/>
      <c r="T43" s="6"/>
      <c r="U43" s="174" t="s">
        <v>3</v>
      </c>
      <c r="V43" s="174"/>
      <c r="W43" s="174"/>
      <c r="X43" s="174"/>
      <c r="Y43" s="153" t="str">
        <f>VLOOKUP(Y47,Fasecolda!A2:B141,2,0)</f>
        <v>AUTECO</v>
      </c>
      <c r="Z43" s="153"/>
      <c r="AA43" s="153"/>
      <c r="AB43" s="153"/>
      <c r="AC43" s="153"/>
      <c r="AD43" s="153"/>
      <c r="AE43" s="6"/>
      <c r="AF43" s="3"/>
    </row>
    <row r="44" spans="1:32" ht="9.9499999999999993" customHeight="1" x14ac:dyDescent="0.25">
      <c r="A44" s="3"/>
      <c r="B44" s="6"/>
      <c r="C44" s="148"/>
      <c r="D44" s="148"/>
      <c r="E44" s="148"/>
      <c r="F44" s="148"/>
      <c r="G44" s="148"/>
      <c r="H44" s="148"/>
      <c r="I44" s="148"/>
      <c r="J44" s="148"/>
      <c r="K44" s="148"/>
      <c r="L44" s="148"/>
      <c r="M44" s="148"/>
      <c r="N44" s="148"/>
      <c r="O44" s="148"/>
      <c r="P44" s="148"/>
      <c r="Q44" s="148"/>
      <c r="R44" s="6"/>
      <c r="S44" s="6"/>
      <c r="T44" s="6"/>
      <c r="U44" s="174"/>
      <c r="V44" s="174"/>
      <c r="W44" s="174"/>
      <c r="X44" s="174"/>
      <c r="Y44" s="153"/>
      <c r="Z44" s="153"/>
      <c r="AA44" s="153"/>
      <c r="AB44" s="153"/>
      <c r="AC44" s="153"/>
      <c r="AD44" s="153"/>
      <c r="AE44" s="6"/>
      <c r="AF44" s="3"/>
    </row>
    <row r="45" spans="1:32" ht="9.9499999999999993" customHeight="1" x14ac:dyDescent="0.25">
      <c r="A45" s="3"/>
      <c r="B45" s="6"/>
      <c r="C45" s="148"/>
      <c r="D45" s="148"/>
      <c r="E45" s="148"/>
      <c r="F45" s="148"/>
      <c r="G45" s="148"/>
      <c r="H45" s="148"/>
      <c r="I45" s="148"/>
      <c r="J45" s="148"/>
      <c r="K45" s="148"/>
      <c r="L45" s="148"/>
      <c r="M45" s="148"/>
      <c r="N45" s="148"/>
      <c r="O45" s="148"/>
      <c r="P45" s="148"/>
      <c r="Q45" s="148"/>
      <c r="R45" s="6"/>
      <c r="S45" s="6"/>
      <c r="T45" s="6"/>
      <c r="U45" s="174" t="s">
        <v>2</v>
      </c>
      <c r="V45" s="174"/>
      <c r="W45" s="174"/>
      <c r="X45" s="174"/>
      <c r="Y45" s="153" t="str">
        <f>Cotizador!C6</f>
        <v>BAJO CILINDRAJE</v>
      </c>
      <c r="Z45" s="153"/>
      <c r="AA45" s="153"/>
      <c r="AB45" s="153"/>
      <c r="AC45" s="153"/>
      <c r="AD45" s="153"/>
      <c r="AE45" s="6"/>
      <c r="AF45" s="3"/>
    </row>
    <row r="46" spans="1:32" ht="9.9499999999999993" customHeight="1" x14ac:dyDescent="0.25">
      <c r="A46" s="3"/>
      <c r="B46" s="6"/>
      <c r="C46" s="196" t="s">
        <v>131</v>
      </c>
      <c r="D46" s="196"/>
      <c r="E46" s="196"/>
      <c r="F46" s="196"/>
      <c r="G46" s="196"/>
      <c r="H46" s="196"/>
      <c r="I46" s="196"/>
      <c r="J46" s="196"/>
      <c r="K46" s="196"/>
      <c r="L46" s="196"/>
      <c r="M46" s="196"/>
      <c r="N46" s="196"/>
      <c r="O46" s="196"/>
      <c r="P46" s="196"/>
      <c r="Q46" s="196"/>
      <c r="R46" s="6"/>
      <c r="S46" s="6"/>
      <c r="T46" s="6"/>
      <c r="U46" s="174"/>
      <c r="V46" s="174"/>
      <c r="W46" s="174"/>
      <c r="X46" s="174"/>
      <c r="Y46" s="153"/>
      <c r="Z46" s="153"/>
      <c r="AA46" s="153"/>
      <c r="AB46" s="153"/>
      <c r="AC46" s="153"/>
      <c r="AD46" s="153"/>
      <c r="AE46" s="6"/>
      <c r="AF46" s="3"/>
    </row>
    <row r="47" spans="1:32" ht="9.9499999999999993" customHeight="1" x14ac:dyDescent="0.25">
      <c r="A47" s="3"/>
      <c r="B47" s="6"/>
      <c r="C47" s="196"/>
      <c r="D47" s="196"/>
      <c r="E47" s="196"/>
      <c r="F47" s="196"/>
      <c r="G47" s="196"/>
      <c r="H47" s="196"/>
      <c r="I47" s="196"/>
      <c r="J47" s="196"/>
      <c r="K47" s="196"/>
      <c r="L47" s="196"/>
      <c r="M47" s="196"/>
      <c r="N47" s="196"/>
      <c r="O47" s="196"/>
      <c r="P47" s="196"/>
      <c r="Q47" s="196"/>
      <c r="R47" s="6"/>
      <c r="S47" s="6"/>
      <c r="T47" s="6"/>
      <c r="U47" s="174" t="s">
        <v>40</v>
      </c>
      <c r="V47" s="174"/>
      <c r="W47" s="174"/>
      <c r="X47" s="174"/>
      <c r="Y47" s="153" t="str">
        <f>+MID(Cotizador!C8,1,8)</f>
        <v>00317071</v>
      </c>
      <c r="Z47" s="153"/>
      <c r="AA47" s="153"/>
      <c r="AB47" s="153"/>
      <c r="AC47" s="153"/>
      <c r="AD47" s="153"/>
      <c r="AE47" s="6"/>
      <c r="AF47" s="3"/>
    </row>
    <row r="48" spans="1:32" ht="9.9499999999999993" customHeight="1" x14ac:dyDescent="0.25">
      <c r="A48" s="3"/>
      <c r="B48" s="6"/>
      <c r="C48" s="196"/>
      <c r="D48" s="196"/>
      <c r="E48" s="196"/>
      <c r="F48" s="196"/>
      <c r="G48" s="196"/>
      <c r="H48" s="196"/>
      <c r="I48" s="196"/>
      <c r="J48" s="196"/>
      <c r="K48" s="196"/>
      <c r="L48" s="196"/>
      <c r="M48" s="196"/>
      <c r="N48" s="196"/>
      <c r="O48" s="196"/>
      <c r="P48" s="196"/>
      <c r="Q48" s="196"/>
      <c r="R48" s="6"/>
      <c r="S48" s="6"/>
      <c r="T48" s="6"/>
      <c r="U48" s="174"/>
      <c r="V48" s="174"/>
      <c r="W48" s="174"/>
      <c r="X48" s="174"/>
      <c r="Y48" s="153"/>
      <c r="Z48" s="153"/>
      <c r="AA48" s="153"/>
      <c r="AB48" s="153"/>
      <c r="AC48" s="153"/>
      <c r="AD48" s="153"/>
      <c r="AE48" s="6"/>
      <c r="AF48" s="3"/>
    </row>
    <row r="49" spans="1:32" ht="13.5" customHeight="1" x14ac:dyDescent="0.25">
      <c r="A49" s="3"/>
      <c r="B49" s="6"/>
      <c r="C49" s="196"/>
      <c r="D49" s="196"/>
      <c r="E49" s="196"/>
      <c r="F49" s="196"/>
      <c r="G49" s="196"/>
      <c r="H49" s="196"/>
      <c r="I49" s="196"/>
      <c r="J49" s="196"/>
      <c r="K49" s="196"/>
      <c r="L49" s="196"/>
      <c r="M49" s="196"/>
      <c r="N49" s="196"/>
      <c r="O49" s="196"/>
      <c r="P49" s="196"/>
      <c r="Q49" s="196"/>
      <c r="R49" s="6"/>
      <c r="S49" s="6"/>
      <c r="T49" s="6"/>
      <c r="U49" s="175" t="s">
        <v>8</v>
      </c>
      <c r="V49" s="175"/>
      <c r="W49" s="175"/>
      <c r="X49" s="175"/>
      <c r="Y49" s="176" t="str">
        <f>+Cotizador!C7</f>
        <v>00317071 AUTECO BAJAJ PULSAR 160 NS MT 160CC</v>
      </c>
      <c r="Z49" s="176"/>
      <c r="AA49" s="176"/>
      <c r="AB49" s="176"/>
      <c r="AC49" s="176"/>
      <c r="AD49" s="176"/>
      <c r="AE49" s="6"/>
      <c r="AF49" s="3"/>
    </row>
    <row r="50" spans="1:32" ht="13.5" customHeight="1" x14ac:dyDescent="0.25">
      <c r="A50" s="3"/>
      <c r="B50" s="6"/>
      <c r="C50" s="196"/>
      <c r="D50" s="196"/>
      <c r="E50" s="196"/>
      <c r="F50" s="196"/>
      <c r="G50" s="196"/>
      <c r="H50" s="196"/>
      <c r="I50" s="196"/>
      <c r="J50" s="196"/>
      <c r="K50" s="196"/>
      <c r="L50" s="196"/>
      <c r="M50" s="196"/>
      <c r="N50" s="196"/>
      <c r="O50" s="196"/>
      <c r="P50" s="196"/>
      <c r="Q50" s="196"/>
      <c r="R50" s="6"/>
      <c r="S50" s="6"/>
      <c r="T50" s="6"/>
      <c r="U50" s="175"/>
      <c r="V50" s="175"/>
      <c r="W50" s="175"/>
      <c r="X50" s="175"/>
      <c r="Y50" s="176"/>
      <c r="Z50" s="176"/>
      <c r="AA50" s="176"/>
      <c r="AB50" s="176"/>
      <c r="AC50" s="176"/>
      <c r="AD50" s="176"/>
      <c r="AE50" s="6"/>
      <c r="AF50" s="3"/>
    </row>
    <row r="51" spans="1:32" ht="9.9499999999999993" customHeight="1" x14ac:dyDescent="0.25">
      <c r="A51" s="3"/>
      <c r="B51" s="6"/>
      <c r="C51" s="196"/>
      <c r="D51" s="196"/>
      <c r="E51" s="196"/>
      <c r="F51" s="196"/>
      <c r="G51" s="196"/>
      <c r="H51" s="196"/>
      <c r="I51" s="196"/>
      <c r="J51" s="196"/>
      <c r="K51" s="196"/>
      <c r="L51" s="196"/>
      <c r="M51" s="196"/>
      <c r="N51" s="196"/>
      <c r="O51" s="196"/>
      <c r="P51" s="196"/>
      <c r="Q51" s="196"/>
      <c r="R51" s="6"/>
      <c r="S51" s="6"/>
      <c r="T51" s="6"/>
      <c r="U51" s="174" t="s">
        <v>41</v>
      </c>
      <c r="V51" s="174"/>
      <c r="W51" s="174"/>
      <c r="X51" s="174"/>
      <c r="Y51" s="153" t="str">
        <f>Cotizador!C11</f>
        <v>CALI</v>
      </c>
      <c r="Z51" s="153"/>
      <c r="AA51" s="153"/>
      <c r="AB51" s="153"/>
      <c r="AC51" s="153"/>
      <c r="AD51" s="153"/>
      <c r="AE51" s="6"/>
      <c r="AF51" s="3"/>
    </row>
    <row r="52" spans="1:32" ht="9.9499999999999993" customHeight="1" x14ac:dyDescent="0.25">
      <c r="A52" s="3"/>
      <c r="B52" s="6"/>
      <c r="C52" s="144" t="s">
        <v>132</v>
      </c>
      <c r="D52" s="144"/>
      <c r="E52" s="144"/>
      <c r="F52" s="144"/>
      <c r="G52" s="144"/>
      <c r="H52" s="144"/>
      <c r="I52" s="144"/>
      <c r="J52" s="144"/>
      <c r="K52" s="144"/>
      <c r="L52" s="144"/>
      <c r="M52" s="144"/>
      <c r="N52" s="144"/>
      <c r="O52" s="144"/>
      <c r="P52" s="144"/>
      <c r="Q52" s="144"/>
      <c r="R52" s="6"/>
      <c r="S52" s="6"/>
      <c r="T52" s="6"/>
      <c r="U52" s="174"/>
      <c r="V52" s="174"/>
      <c r="W52" s="174"/>
      <c r="X52" s="174"/>
      <c r="Y52" s="153"/>
      <c r="Z52" s="153"/>
      <c r="AA52" s="153"/>
      <c r="AB52" s="153"/>
      <c r="AC52" s="153"/>
      <c r="AD52" s="153"/>
      <c r="AE52" s="6"/>
      <c r="AF52" s="3"/>
    </row>
    <row r="53" spans="1:32" ht="9.9499999999999993" customHeight="1" x14ac:dyDescent="0.25">
      <c r="A53" s="3"/>
      <c r="B53" s="6"/>
      <c r="C53" s="144"/>
      <c r="D53" s="144"/>
      <c r="E53" s="144"/>
      <c r="F53" s="144"/>
      <c r="G53" s="144"/>
      <c r="H53" s="144"/>
      <c r="I53" s="144"/>
      <c r="J53" s="144"/>
      <c r="K53" s="144"/>
      <c r="L53" s="144"/>
      <c r="M53" s="144"/>
      <c r="N53" s="144"/>
      <c r="O53" s="144"/>
      <c r="P53" s="144"/>
      <c r="Q53" s="144"/>
      <c r="R53" s="6"/>
      <c r="S53" s="6"/>
      <c r="T53" s="6"/>
      <c r="U53" s="174" t="s">
        <v>29</v>
      </c>
      <c r="V53" s="174"/>
      <c r="W53" s="174"/>
      <c r="X53" s="174"/>
      <c r="Y53" s="153" t="s">
        <v>0</v>
      </c>
      <c r="Z53" s="153"/>
      <c r="AA53" s="153"/>
      <c r="AB53" s="153"/>
      <c r="AC53" s="153"/>
      <c r="AD53" s="153"/>
      <c r="AE53" s="6"/>
      <c r="AF53" s="3"/>
    </row>
    <row r="54" spans="1:32" ht="9.9499999999999993" customHeight="1" x14ac:dyDescent="0.25">
      <c r="A54" s="3"/>
      <c r="B54" s="6"/>
      <c r="C54" s="144"/>
      <c r="D54" s="144"/>
      <c r="E54" s="144"/>
      <c r="F54" s="144"/>
      <c r="G54" s="144"/>
      <c r="H54" s="144"/>
      <c r="I54" s="144"/>
      <c r="J54" s="144"/>
      <c r="K54" s="144"/>
      <c r="L54" s="144"/>
      <c r="M54" s="144"/>
      <c r="N54" s="144"/>
      <c r="O54" s="144"/>
      <c r="P54" s="144"/>
      <c r="Q54" s="144"/>
      <c r="R54" s="6"/>
      <c r="S54" s="6"/>
      <c r="T54" s="6"/>
      <c r="U54" s="174"/>
      <c r="V54" s="174"/>
      <c r="W54" s="174"/>
      <c r="X54" s="174"/>
      <c r="Y54" s="153"/>
      <c r="Z54" s="153"/>
      <c r="AA54" s="153"/>
      <c r="AB54" s="153"/>
      <c r="AC54" s="153"/>
      <c r="AD54" s="153"/>
      <c r="AE54" s="6"/>
      <c r="AF54" s="3"/>
    </row>
    <row r="55" spans="1:32" ht="9.9499999999999993" customHeight="1" x14ac:dyDescent="0.25">
      <c r="A55" s="3"/>
      <c r="B55" s="6"/>
      <c r="C55" s="144"/>
      <c r="D55" s="144"/>
      <c r="E55" s="144"/>
      <c r="F55" s="144"/>
      <c r="G55" s="144"/>
      <c r="H55" s="144"/>
      <c r="I55" s="144"/>
      <c r="J55" s="144"/>
      <c r="K55" s="144"/>
      <c r="L55" s="144"/>
      <c r="M55" s="144"/>
      <c r="N55" s="144"/>
      <c r="O55" s="144"/>
      <c r="P55" s="144"/>
      <c r="Q55" s="144"/>
      <c r="R55" s="6"/>
      <c r="S55" s="6"/>
      <c r="T55" s="6"/>
      <c r="U55" s="154" t="s">
        <v>98</v>
      </c>
      <c r="V55" s="155"/>
      <c r="W55" s="155"/>
      <c r="X55" s="156"/>
      <c r="Y55" s="153" t="str">
        <f>Cotizador!C5</f>
        <v>FAMILIAR</v>
      </c>
      <c r="Z55" s="153"/>
      <c r="AA55" s="153"/>
      <c r="AB55" s="153"/>
      <c r="AC55" s="153"/>
      <c r="AD55" s="153"/>
      <c r="AE55" s="6"/>
      <c r="AF55" s="3"/>
    </row>
    <row r="56" spans="1:32" ht="9.75" customHeight="1" x14ac:dyDescent="0.25">
      <c r="A56" s="3"/>
      <c r="B56" s="6"/>
      <c r="C56" s="28" t="s">
        <v>114</v>
      </c>
      <c r="D56" s="28"/>
      <c r="E56" s="28"/>
      <c r="F56" s="28"/>
      <c r="G56" s="28"/>
      <c r="H56" s="28"/>
      <c r="I56" s="28"/>
      <c r="J56" s="28"/>
      <c r="K56" s="28"/>
      <c r="L56" s="28"/>
      <c r="M56" s="28"/>
      <c r="N56" s="28"/>
      <c r="O56" s="28"/>
      <c r="P56" s="28"/>
      <c r="Q56" s="28"/>
      <c r="R56" s="6"/>
      <c r="S56" s="6"/>
      <c r="T56" s="6"/>
      <c r="U56" s="157"/>
      <c r="V56" s="158"/>
      <c r="W56" s="158"/>
      <c r="X56" s="159"/>
      <c r="Y56" s="153"/>
      <c r="Z56" s="153"/>
      <c r="AA56" s="153"/>
      <c r="AB56" s="153"/>
      <c r="AC56" s="153"/>
      <c r="AD56" s="153"/>
      <c r="AE56" s="6"/>
      <c r="AF56" s="3"/>
    </row>
    <row r="57" spans="1:32" ht="9.9499999999999993" customHeight="1" x14ac:dyDescent="0.25">
      <c r="A57" s="3"/>
      <c r="B57" s="6"/>
      <c r="C57" s="169" t="s">
        <v>133</v>
      </c>
      <c r="D57" s="169"/>
      <c r="E57" s="169"/>
      <c r="F57" s="169"/>
      <c r="G57" s="169"/>
      <c r="H57" s="169"/>
      <c r="I57" s="169"/>
      <c r="J57" s="169"/>
      <c r="K57" s="169"/>
      <c r="L57" s="169"/>
      <c r="M57" s="169"/>
      <c r="N57" s="169"/>
      <c r="O57" s="169"/>
      <c r="P57" s="169"/>
      <c r="Q57" s="169"/>
      <c r="R57" s="6"/>
      <c r="S57" s="6"/>
      <c r="T57" s="6"/>
      <c r="U57" s="162" t="s">
        <v>42</v>
      </c>
      <c r="V57" s="162"/>
      <c r="W57" s="162"/>
      <c r="X57" s="162"/>
      <c r="Y57" s="162"/>
      <c r="Z57" s="162"/>
      <c r="AA57" s="162"/>
      <c r="AB57" s="162"/>
      <c r="AC57" s="162"/>
      <c r="AD57" s="162"/>
      <c r="AE57" s="6"/>
      <c r="AF57" s="3"/>
    </row>
    <row r="58" spans="1:32" ht="9.9499999999999993" customHeight="1" x14ac:dyDescent="0.25">
      <c r="A58" s="3"/>
      <c r="B58" s="6"/>
      <c r="C58" s="169"/>
      <c r="D58" s="169"/>
      <c r="E58" s="169"/>
      <c r="F58" s="169"/>
      <c r="G58" s="169"/>
      <c r="H58" s="169"/>
      <c r="I58" s="169"/>
      <c r="J58" s="169"/>
      <c r="K58" s="169"/>
      <c r="L58" s="169"/>
      <c r="M58" s="169"/>
      <c r="N58" s="169"/>
      <c r="O58" s="169"/>
      <c r="P58" s="169"/>
      <c r="Q58" s="169"/>
      <c r="R58" s="6"/>
      <c r="S58" s="6"/>
      <c r="T58" s="6"/>
      <c r="U58" s="162"/>
      <c r="V58" s="162"/>
      <c r="W58" s="162"/>
      <c r="X58" s="162"/>
      <c r="Y58" s="162"/>
      <c r="Z58" s="162"/>
      <c r="AA58" s="162"/>
      <c r="AB58" s="162"/>
      <c r="AC58" s="162"/>
      <c r="AD58" s="162"/>
      <c r="AE58" s="6"/>
      <c r="AF58" s="3"/>
    </row>
    <row r="59" spans="1:32" ht="9.9499999999999993" customHeight="1" x14ac:dyDescent="0.25">
      <c r="A59" s="3"/>
      <c r="B59" s="6"/>
      <c r="C59" s="169"/>
      <c r="D59" s="169"/>
      <c r="E59" s="169"/>
      <c r="F59" s="169"/>
      <c r="G59" s="169"/>
      <c r="H59" s="169"/>
      <c r="I59" s="169"/>
      <c r="J59" s="169"/>
      <c r="K59" s="169"/>
      <c r="L59" s="169"/>
      <c r="M59" s="169"/>
      <c r="N59" s="169"/>
      <c r="O59" s="169"/>
      <c r="P59" s="169"/>
      <c r="Q59" s="169"/>
      <c r="R59" s="6"/>
      <c r="S59" s="6"/>
      <c r="T59" s="6"/>
      <c r="U59" s="163" t="s">
        <v>94</v>
      </c>
      <c r="V59" s="164"/>
      <c r="W59" s="164"/>
      <c r="X59" s="164"/>
      <c r="Y59" s="164"/>
      <c r="Z59" s="164"/>
      <c r="AA59" s="164"/>
      <c r="AB59" s="164"/>
      <c r="AC59" s="164"/>
      <c r="AD59" s="165"/>
      <c r="AE59" s="6"/>
      <c r="AF59" s="3"/>
    </row>
    <row r="60" spans="1:32" ht="9" customHeight="1" x14ac:dyDescent="0.25">
      <c r="A60" s="3"/>
      <c r="B60" s="6"/>
      <c r="C60" s="169" t="str">
        <f>+IF(Cotizador!E21="SI","              En caso de varada o choque te prestamos el servicio de grúa hasta por un monto de 20smdlv.","")</f>
        <v/>
      </c>
      <c r="D60" s="169"/>
      <c r="E60" s="169"/>
      <c r="F60" s="169"/>
      <c r="G60" s="169"/>
      <c r="H60" s="169"/>
      <c r="I60" s="169"/>
      <c r="J60" s="169"/>
      <c r="K60" s="169"/>
      <c r="L60" s="169"/>
      <c r="M60" s="169"/>
      <c r="N60" s="169"/>
      <c r="O60" s="169"/>
      <c r="P60" s="169"/>
      <c r="Q60" s="169"/>
      <c r="R60" s="6"/>
      <c r="S60" s="6"/>
      <c r="T60" s="6"/>
      <c r="U60" s="166"/>
      <c r="V60" s="167"/>
      <c r="W60" s="167"/>
      <c r="X60" s="167"/>
      <c r="Y60" s="167"/>
      <c r="Z60" s="167"/>
      <c r="AA60" s="167"/>
      <c r="AB60" s="167"/>
      <c r="AC60" s="167"/>
      <c r="AD60" s="168"/>
      <c r="AE60" s="6"/>
      <c r="AF60" s="3"/>
    </row>
    <row r="61" spans="1:32" ht="9" customHeight="1" x14ac:dyDescent="0.25">
      <c r="A61" s="3"/>
      <c r="B61" s="6"/>
      <c r="C61" s="169"/>
      <c r="D61" s="169"/>
      <c r="E61" s="169"/>
      <c r="F61" s="169"/>
      <c r="G61" s="169"/>
      <c r="H61" s="169"/>
      <c r="I61" s="169"/>
      <c r="J61" s="169"/>
      <c r="K61" s="169"/>
      <c r="L61" s="169"/>
      <c r="M61" s="169"/>
      <c r="N61" s="169"/>
      <c r="O61" s="169"/>
      <c r="P61" s="169"/>
      <c r="Q61" s="169"/>
      <c r="R61" s="6"/>
      <c r="S61" s="6"/>
      <c r="T61" s="6"/>
      <c r="U61" s="6"/>
      <c r="V61" s="6"/>
      <c r="W61" s="6"/>
      <c r="X61" s="6"/>
      <c r="Y61" s="6"/>
      <c r="Z61" s="6"/>
      <c r="AA61" s="6"/>
      <c r="AB61" s="6"/>
      <c r="AC61" s="6"/>
      <c r="AD61" s="6"/>
      <c r="AE61" s="6"/>
      <c r="AF61" s="3"/>
    </row>
    <row r="62" spans="1:32" ht="9" customHeight="1" x14ac:dyDescent="0.25">
      <c r="A62" s="3"/>
      <c r="B62" s="6"/>
      <c r="C62" s="169"/>
      <c r="D62" s="169"/>
      <c r="E62" s="169"/>
      <c r="F62" s="169"/>
      <c r="G62" s="169"/>
      <c r="H62" s="169"/>
      <c r="I62" s="169"/>
      <c r="J62" s="169"/>
      <c r="K62" s="169"/>
      <c r="L62" s="169"/>
      <c r="M62" s="169"/>
      <c r="N62" s="169"/>
      <c r="O62" s="169"/>
      <c r="P62" s="169"/>
      <c r="Q62" s="169"/>
      <c r="R62" s="6"/>
      <c r="S62" s="6"/>
      <c r="T62" s="6"/>
      <c r="U62" s="6"/>
      <c r="V62" s="6"/>
      <c r="W62" s="6"/>
      <c r="X62" s="6"/>
      <c r="Y62" s="6"/>
      <c r="Z62" s="6"/>
      <c r="AA62" s="6"/>
      <c r="AB62" s="6"/>
      <c r="AC62" s="6"/>
      <c r="AD62" s="6"/>
      <c r="AE62" s="6"/>
      <c r="AF62" s="3"/>
    </row>
    <row r="63" spans="1:32" ht="9" customHeight="1" x14ac:dyDescent="0.25">
      <c r="A63" s="3"/>
      <c r="B63" s="6"/>
      <c r="C63" s="169"/>
      <c r="D63" s="169"/>
      <c r="E63" s="169"/>
      <c r="F63" s="169"/>
      <c r="G63" s="169"/>
      <c r="H63" s="169"/>
      <c r="I63" s="169"/>
      <c r="J63" s="169"/>
      <c r="K63" s="169"/>
      <c r="L63" s="169"/>
      <c r="M63" s="169"/>
      <c r="N63" s="169"/>
      <c r="O63" s="169"/>
      <c r="P63" s="169"/>
      <c r="Q63" s="169"/>
      <c r="R63" s="6"/>
      <c r="S63" s="6"/>
      <c r="T63" s="6"/>
      <c r="U63" s="6"/>
      <c r="V63" s="6"/>
      <c r="W63" s="6"/>
      <c r="X63" s="6"/>
      <c r="Y63" s="6"/>
      <c r="Z63" s="6"/>
      <c r="AA63" s="6"/>
      <c r="AB63" s="6"/>
      <c r="AC63" s="6"/>
      <c r="AD63" s="6"/>
      <c r="AE63" s="6"/>
      <c r="AF63" s="3"/>
    </row>
    <row r="64" spans="1:32" ht="9" customHeight="1" x14ac:dyDescent="0.25">
      <c r="A64" s="3"/>
      <c r="B64" s="6"/>
      <c r="C64" s="169"/>
      <c r="D64" s="169"/>
      <c r="E64" s="169"/>
      <c r="F64" s="169"/>
      <c r="G64" s="169"/>
      <c r="H64" s="169"/>
      <c r="I64" s="169"/>
      <c r="J64" s="169"/>
      <c r="K64" s="169"/>
      <c r="L64" s="169"/>
      <c r="M64" s="169"/>
      <c r="N64" s="169"/>
      <c r="O64" s="169"/>
      <c r="P64" s="169"/>
      <c r="Q64" s="169"/>
      <c r="R64" s="6"/>
      <c r="S64" s="6"/>
      <c r="T64" s="6"/>
      <c r="U64" s="6"/>
      <c r="V64" s="6"/>
      <c r="W64" s="6"/>
      <c r="X64" s="6"/>
      <c r="Y64" s="6"/>
      <c r="Z64" s="6"/>
      <c r="AA64" s="6"/>
      <c r="AB64" s="6"/>
      <c r="AC64" s="6"/>
      <c r="AD64" s="6"/>
      <c r="AE64" s="6"/>
      <c r="AF64" s="3"/>
    </row>
    <row r="65" spans="1:32" ht="9" customHeight="1" x14ac:dyDescent="0.25">
      <c r="A65" s="3"/>
      <c r="B65" s="6"/>
      <c r="C65" s="169"/>
      <c r="D65" s="169"/>
      <c r="E65" s="169"/>
      <c r="F65" s="169"/>
      <c r="G65" s="169"/>
      <c r="H65" s="169"/>
      <c r="I65" s="169"/>
      <c r="J65" s="169"/>
      <c r="K65" s="169"/>
      <c r="L65" s="169"/>
      <c r="M65" s="169"/>
      <c r="N65" s="169"/>
      <c r="O65" s="169"/>
      <c r="P65" s="169"/>
      <c r="Q65" s="169"/>
      <c r="R65" s="6"/>
      <c r="S65" s="6"/>
      <c r="T65" s="6"/>
      <c r="AE65" s="6"/>
      <c r="AF65" s="3"/>
    </row>
    <row r="66" spans="1:32" ht="9" customHeight="1" x14ac:dyDescent="0.25">
      <c r="A66" s="3"/>
      <c r="B66" s="6"/>
      <c r="C66" s="169"/>
      <c r="D66" s="169"/>
      <c r="E66" s="169"/>
      <c r="F66" s="169"/>
      <c r="G66" s="169"/>
      <c r="H66" s="169"/>
      <c r="I66" s="169"/>
      <c r="J66" s="169"/>
      <c r="K66" s="169"/>
      <c r="L66" s="169"/>
      <c r="M66" s="169"/>
      <c r="N66" s="169"/>
      <c r="O66" s="169"/>
      <c r="P66" s="169"/>
      <c r="Q66" s="169"/>
      <c r="R66" s="6"/>
      <c r="S66" s="6"/>
      <c r="T66" s="6"/>
      <c r="AE66" s="6"/>
      <c r="AF66" s="3"/>
    </row>
    <row r="67" spans="1:32" ht="9" customHeight="1" x14ac:dyDescent="0.25">
      <c r="A67" s="3"/>
      <c r="B67" s="6"/>
      <c r="C67" s="169"/>
      <c r="D67" s="169"/>
      <c r="E67" s="169"/>
      <c r="F67" s="169"/>
      <c r="G67" s="169"/>
      <c r="H67" s="169"/>
      <c r="I67" s="169"/>
      <c r="J67" s="169"/>
      <c r="K67" s="169"/>
      <c r="L67" s="169"/>
      <c r="M67" s="169"/>
      <c r="N67" s="169"/>
      <c r="O67" s="169"/>
      <c r="P67" s="169"/>
      <c r="Q67" s="169"/>
      <c r="R67" s="6"/>
      <c r="S67" s="6"/>
      <c r="T67" s="6"/>
      <c r="U67" s="170" t="s">
        <v>43</v>
      </c>
      <c r="V67" s="170"/>
      <c r="W67" s="170"/>
      <c r="X67" s="170"/>
      <c r="Y67" s="170"/>
      <c r="Z67" s="170"/>
      <c r="AA67" s="170"/>
      <c r="AB67" s="170"/>
      <c r="AC67" s="170"/>
      <c r="AD67" s="170"/>
      <c r="AE67" s="6"/>
      <c r="AF67" s="3"/>
    </row>
    <row r="68" spans="1:32" ht="9" customHeight="1" x14ac:dyDescent="0.25">
      <c r="A68" s="3"/>
      <c r="B68" s="6"/>
      <c r="C68" s="6"/>
      <c r="D68" s="6"/>
      <c r="E68" s="6"/>
      <c r="F68" s="6"/>
      <c r="G68" s="6"/>
      <c r="H68" s="6"/>
      <c r="I68" s="6"/>
      <c r="J68" s="6"/>
      <c r="K68" s="6"/>
      <c r="L68" s="6"/>
      <c r="M68" s="6"/>
      <c r="N68" s="6"/>
      <c r="O68" s="6"/>
      <c r="P68" s="6"/>
      <c r="Q68" s="6"/>
      <c r="R68" s="6"/>
      <c r="S68" s="6"/>
      <c r="T68" s="6"/>
      <c r="U68" s="170"/>
      <c r="V68" s="170"/>
      <c r="W68" s="170"/>
      <c r="X68" s="170"/>
      <c r="Y68" s="170"/>
      <c r="Z68" s="170"/>
      <c r="AA68" s="170"/>
      <c r="AB68" s="170"/>
      <c r="AC68" s="170"/>
      <c r="AD68" s="170"/>
      <c r="AE68" s="6"/>
      <c r="AF68" s="3"/>
    </row>
    <row r="69" spans="1:32" ht="9" customHeight="1" x14ac:dyDescent="0.25">
      <c r="A69" s="3"/>
      <c r="B69" s="6"/>
      <c r="C69" s="144"/>
      <c r="D69" s="144"/>
      <c r="E69" s="144"/>
      <c r="F69" s="144"/>
      <c r="G69" s="144"/>
      <c r="H69" s="144"/>
      <c r="I69" s="144"/>
      <c r="J69" s="144"/>
      <c r="K69" s="144"/>
      <c r="L69" s="144"/>
      <c r="M69" s="144"/>
      <c r="N69" s="144"/>
      <c r="O69" s="144"/>
      <c r="P69" s="144"/>
      <c r="Q69" s="144"/>
      <c r="R69" s="6"/>
      <c r="S69" s="6"/>
      <c r="T69" s="6"/>
      <c r="U69" s="171" t="s">
        <v>13</v>
      </c>
      <c r="V69" s="171"/>
      <c r="W69" s="171"/>
      <c r="X69" s="171"/>
      <c r="Y69" s="172" t="s">
        <v>1</v>
      </c>
      <c r="Z69" s="172"/>
      <c r="AA69" s="172"/>
      <c r="AB69" s="172"/>
      <c r="AC69" s="172"/>
      <c r="AD69" s="172"/>
      <c r="AE69" s="6"/>
      <c r="AF69" s="3"/>
    </row>
    <row r="70" spans="1:32" ht="9" customHeight="1" x14ac:dyDescent="0.25">
      <c r="A70" s="3"/>
      <c r="B70" s="6"/>
      <c r="C70" s="144"/>
      <c r="D70" s="144"/>
      <c r="E70" s="144"/>
      <c r="F70" s="144"/>
      <c r="G70" s="144"/>
      <c r="H70" s="144"/>
      <c r="I70" s="144"/>
      <c r="J70" s="144"/>
      <c r="K70" s="144"/>
      <c r="L70" s="144"/>
      <c r="M70" s="144"/>
      <c r="N70" s="144"/>
      <c r="O70" s="144"/>
      <c r="P70" s="144"/>
      <c r="Q70" s="144"/>
      <c r="R70" s="6"/>
      <c r="S70" s="6"/>
      <c r="T70" s="6"/>
      <c r="U70" s="171"/>
      <c r="V70" s="171"/>
      <c r="W70" s="171"/>
      <c r="X70" s="171"/>
      <c r="Y70" s="172"/>
      <c r="Z70" s="172"/>
      <c r="AA70" s="172"/>
      <c r="AB70" s="172"/>
      <c r="AC70" s="172"/>
      <c r="AD70" s="172"/>
      <c r="AE70" s="6"/>
      <c r="AF70" s="3"/>
    </row>
    <row r="71" spans="1:32" ht="9" customHeight="1" x14ac:dyDescent="0.25">
      <c r="A71" s="3"/>
      <c r="B71" s="6"/>
      <c r="C71" s="144"/>
      <c r="D71" s="144"/>
      <c r="E71" s="144"/>
      <c r="F71" s="144"/>
      <c r="G71" s="144"/>
      <c r="H71" s="144"/>
      <c r="I71" s="144"/>
      <c r="J71" s="144"/>
      <c r="K71" s="144"/>
      <c r="L71" s="144"/>
      <c r="M71" s="144"/>
      <c r="N71" s="144"/>
      <c r="O71" s="144"/>
      <c r="P71" s="144"/>
      <c r="Q71" s="144"/>
      <c r="R71" s="6"/>
      <c r="S71" s="6"/>
      <c r="T71" s="6"/>
      <c r="U71" s="171" t="s">
        <v>110</v>
      </c>
      <c r="V71" s="171"/>
      <c r="W71" s="171"/>
      <c r="X71" s="171"/>
      <c r="Y71" s="149">
        <f ca="1">+Cotizador!J22</f>
        <v>106000</v>
      </c>
      <c r="Z71" s="149"/>
      <c r="AA71" s="149"/>
      <c r="AB71" s="149"/>
      <c r="AC71" s="149"/>
      <c r="AD71" s="149"/>
      <c r="AE71" s="6"/>
      <c r="AF71" s="3"/>
    </row>
    <row r="72" spans="1:32" ht="9" customHeight="1" x14ac:dyDescent="0.25">
      <c r="A72" s="3"/>
      <c r="B72" s="6"/>
      <c r="C72" s="150" t="s">
        <v>114</v>
      </c>
      <c r="D72" s="150"/>
      <c r="E72" s="150"/>
      <c r="F72" s="150"/>
      <c r="G72" s="150"/>
      <c r="H72" s="150"/>
      <c r="I72" s="150"/>
      <c r="J72" s="150"/>
      <c r="K72" s="150"/>
      <c r="L72" s="150"/>
      <c r="M72" s="150"/>
      <c r="N72" s="150"/>
      <c r="O72" s="150"/>
      <c r="P72" s="150"/>
      <c r="Q72" s="150"/>
      <c r="R72" s="6"/>
      <c r="S72" s="6"/>
      <c r="T72" s="6"/>
      <c r="U72" s="171"/>
      <c r="V72" s="171"/>
      <c r="W72" s="171"/>
      <c r="X72" s="171"/>
      <c r="Y72" s="149"/>
      <c r="Z72" s="149"/>
      <c r="AA72" s="149"/>
      <c r="AB72" s="149"/>
      <c r="AC72" s="149"/>
      <c r="AD72" s="149"/>
      <c r="AE72" s="6"/>
      <c r="AF72" s="3"/>
    </row>
    <row r="73" spans="1:32" ht="13.5" customHeight="1" x14ac:dyDescent="0.25">
      <c r="A73" s="3"/>
      <c r="B73" s="6"/>
      <c r="C73" s="150"/>
      <c r="D73" s="150"/>
      <c r="E73" s="150"/>
      <c r="F73" s="150"/>
      <c r="G73" s="150"/>
      <c r="H73" s="150"/>
      <c r="I73" s="150"/>
      <c r="J73" s="150"/>
      <c r="K73" s="150"/>
      <c r="L73" s="150"/>
      <c r="M73" s="150"/>
      <c r="N73" s="150"/>
      <c r="O73" s="150"/>
      <c r="P73" s="150"/>
      <c r="Q73" s="150"/>
      <c r="R73" s="6"/>
      <c r="S73" s="6"/>
      <c r="T73" s="6"/>
      <c r="U73" s="147" t="s">
        <v>252</v>
      </c>
      <c r="V73" s="147"/>
      <c r="W73" s="147"/>
      <c r="X73" s="147"/>
      <c r="Y73" s="149">
        <f ca="1">+Cotizador!J23</f>
        <v>20140</v>
      </c>
      <c r="Z73" s="149"/>
      <c r="AA73" s="149"/>
      <c r="AB73" s="149"/>
      <c r="AC73" s="149"/>
      <c r="AD73" s="149"/>
      <c r="AE73" s="6"/>
      <c r="AF73" s="3"/>
    </row>
    <row r="74" spans="1:32" ht="9.9499999999999993" customHeight="1" x14ac:dyDescent="0.25">
      <c r="A74" s="3"/>
      <c r="B74" s="6"/>
      <c r="C74" s="150"/>
      <c r="D74" s="150"/>
      <c r="E74" s="150"/>
      <c r="F74" s="150"/>
      <c r="G74" s="150"/>
      <c r="H74" s="150"/>
      <c r="I74" s="150"/>
      <c r="J74" s="150"/>
      <c r="K74" s="150"/>
      <c r="L74" s="150"/>
      <c r="M74" s="150"/>
      <c r="N74" s="150"/>
      <c r="O74" s="150"/>
      <c r="P74" s="150"/>
      <c r="Q74" s="150"/>
      <c r="R74" s="6"/>
      <c r="S74" s="6"/>
      <c r="T74" s="6"/>
      <c r="U74" s="147"/>
      <c r="V74" s="147"/>
      <c r="W74" s="147"/>
      <c r="X74" s="147"/>
      <c r="Y74" s="149"/>
      <c r="Z74" s="149"/>
      <c r="AA74" s="149"/>
      <c r="AB74" s="149"/>
      <c r="AC74" s="149"/>
      <c r="AD74" s="149"/>
      <c r="AE74" s="6"/>
      <c r="AF74" s="3"/>
    </row>
    <row r="75" spans="1:32" ht="9.9499999999999993" customHeight="1" x14ac:dyDescent="0.25">
      <c r="A75" s="3"/>
      <c r="B75" s="6"/>
      <c r="C75" s="160" t="str">
        <f>+IF(Cotizador!C12='Tasas y Propuestas'!E42,"Esta opcion es solo para motos financiandas al 100% por Sufi.","")</f>
        <v/>
      </c>
      <c r="D75" s="160"/>
      <c r="E75" s="160"/>
      <c r="F75" s="160"/>
      <c r="G75" s="160"/>
      <c r="H75" s="160"/>
      <c r="I75" s="160"/>
      <c r="J75" s="160"/>
      <c r="K75" s="160"/>
      <c r="L75" s="160"/>
      <c r="M75" s="160"/>
      <c r="N75" s="160"/>
      <c r="O75" s="160"/>
      <c r="P75" s="160"/>
      <c r="Q75" s="160"/>
      <c r="R75" s="160"/>
      <c r="S75" s="6"/>
      <c r="T75" s="6"/>
      <c r="U75" s="147" t="s">
        <v>44</v>
      </c>
      <c r="V75" s="147"/>
      <c r="W75" s="147"/>
      <c r="X75" s="147"/>
      <c r="Y75" s="173">
        <f ca="1">+Y73+Y71</f>
        <v>126140</v>
      </c>
      <c r="Z75" s="173"/>
      <c r="AA75" s="173"/>
      <c r="AB75" s="173"/>
      <c r="AC75" s="173"/>
      <c r="AD75" s="173"/>
      <c r="AE75" s="6"/>
      <c r="AF75" s="3"/>
    </row>
    <row r="76" spans="1:32" ht="9.9499999999999993" customHeight="1" x14ac:dyDescent="0.25">
      <c r="A76" s="3"/>
      <c r="B76" s="6"/>
      <c r="C76" s="160"/>
      <c r="D76" s="160"/>
      <c r="E76" s="160"/>
      <c r="F76" s="160"/>
      <c r="G76" s="160"/>
      <c r="H76" s="160"/>
      <c r="I76" s="160"/>
      <c r="J76" s="160"/>
      <c r="K76" s="160"/>
      <c r="L76" s="160"/>
      <c r="M76" s="160"/>
      <c r="N76" s="160"/>
      <c r="O76" s="160"/>
      <c r="P76" s="160"/>
      <c r="Q76" s="160"/>
      <c r="R76" s="160"/>
      <c r="S76" s="6"/>
      <c r="T76" s="6"/>
      <c r="U76" s="147"/>
      <c r="V76" s="147"/>
      <c r="W76" s="147"/>
      <c r="X76" s="147"/>
      <c r="Y76" s="173"/>
      <c r="Z76" s="173"/>
      <c r="AA76" s="173"/>
      <c r="AB76" s="173"/>
      <c r="AC76" s="173"/>
      <c r="AD76" s="173"/>
      <c r="AE76" s="6"/>
      <c r="AF76" s="3"/>
    </row>
    <row r="77" spans="1:32" ht="9.9499999999999993" customHeight="1" x14ac:dyDescent="0.25">
      <c r="A77" s="3"/>
      <c r="B77" s="6"/>
      <c r="C77" s="160"/>
      <c r="D77" s="160"/>
      <c r="E77" s="160"/>
      <c r="F77" s="160"/>
      <c r="G77" s="160"/>
      <c r="H77" s="160"/>
      <c r="I77" s="160"/>
      <c r="J77" s="160"/>
      <c r="K77" s="160"/>
      <c r="L77" s="160"/>
      <c r="M77" s="160"/>
      <c r="N77" s="160"/>
      <c r="O77" s="160"/>
      <c r="P77" s="160"/>
      <c r="Q77" s="160"/>
      <c r="R77" s="160"/>
      <c r="S77" s="6"/>
      <c r="T77" s="6"/>
      <c r="U77" s="152"/>
      <c r="V77" s="152"/>
      <c r="W77" s="152"/>
      <c r="X77" s="152"/>
      <c r="Y77" s="161"/>
      <c r="Z77" s="161"/>
      <c r="AA77" s="161"/>
      <c r="AB77" s="161"/>
      <c r="AC77" s="161"/>
      <c r="AD77" s="161"/>
      <c r="AE77" s="6"/>
      <c r="AF77" s="3"/>
    </row>
    <row r="78" spans="1:32" ht="7.5" customHeight="1" x14ac:dyDescent="0.25">
      <c r="A78" s="3"/>
      <c r="B78" s="6"/>
      <c r="C78" s="160"/>
      <c r="D78" s="160"/>
      <c r="E78" s="160"/>
      <c r="F78" s="160"/>
      <c r="G78" s="160"/>
      <c r="H78" s="160"/>
      <c r="I78" s="160"/>
      <c r="J78" s="160"/>
      <c r="K78" s="160"/>
      <c r="L78" s="160"/>
      <c r="M78" s="160"/>
      <c r="N78" s="160"/>
      <c r="O78" s="160"/>
      <c r="P78" s="160"/>
      <c r="Q78" s="160"/>
      <c r="R78" s="160"/>
      <c r="S78" s="6"/>
      <c r="T78" s="6"/>
      <c r="U78" s="152"/>
      <c r="V78" s="152"/>
      <c r="W78" s="152"/>
      <c r="X78" s="152"/>
      <c r="Y78" s="161"/>
      <c r="Z78" s="161"/>
      <c r="AA78" s="161"/>
      <c r="AB78" s="161"/>
      <c r="AC78" s="161"/>
      <c r="AD78" s="161"/>
      <c r="AE78" s="6"/>
      <c r="AF78" s="3"/>
    </row>
    <row r="79" spans="1:32" ht="9.9499999999999993" customHeight="1" x14ac:dyDescent="0.25">
      <c r="A79" s="3"/>
      <c r="B79" s="6"/>
      <c r="C79" s="160"/>
      <c r="D79" s="160"/>
      <c r="E79" s="160"/>
      <c r="F79" s="160"/>
      <c r="G79" s="160"/>
      <c r="H79" s="160"/>
      <c r="I79" s="160"/>
      <c r="J79" s="160"/>
      <c r="K79" s="160"/>
      <c r="L79" s="160"/>
      <c r="M79" s="160"/>
      <c r="N79" s="160"/>
      <c r="O79" s="160"/>
      <c r="P79" s="160"/>
      <c r="Q79" s="160"/>
      <c r="R79" s="160"/>
      <c r="S79" s="6"/>
      <c r="T79" s="6"/>
      <c r="U79" s="9"/>
      <c r="V79" s="9"/>
      <c r="W79" s="9"/>
      <c r="X79" s="9"/>
      <c r="Y79" s="9"/>
      <c r="Z79" s="9"/>
      <c r="AA79" s="9"/>
      <c r="AB79" s="9"/>
      <c r="AC79" s="9"/>
      <c r="AD79" s="9"/>
      <c r="AE79" s="6"/>
      <c r="AF79" s="3"/>
    </row>
    <row r="80" spans="1:32" ht="9.9499999999999993" customHeight="1" x14ac:dyDescent="0.25">
      <c r="A80" s="3"/>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3"/>
    </row>
    <row r="81" spans="1:32" ht="4.5" customHeight="1" x14ac:dyDescent="0.2">
      <c r="A81" s="3"/>
      <c r="AF81" s="3"/>
    </row>
    <row r="82" spans="1:32" ht="4.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9.9499999999999993"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8" customHeight="1" x14ac:dyDescent="0.2">
      <c r="A84" s="3"/>
      <c r="C84" s="10" t="s">
        <v>45</v>
      </c>
      <c r="AF84" s="3"/>
    </row>
    <row r="85" spans="1:32" ht="9.9499999999999993" customHeight="1" x14ac:dyDescent="0.2">
      <c r="A85" s="3"/>
      <c r="AF85" s="3"/>
    </row>
    <row r="86" spans="1:32" ht="9.9499999999999993" customHeight="1" x14ac:dyDescent="0.2">
      <c r="A86" s="3"/>
      <c r="C86" s="145" t="s">
        <v>46</v>
      </c>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F86" s="3"/>
    </row>
    <row r="87" spans="1:32" ht="9.9499999999999993" customHeight="1" x14ac:dyDescent="0.2">
      <c r="A87" s="3"/>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F87" s="3"/>
    </row>
    <row r="88" spans="1:32" ht="9.9499999999999993" customHeight="1" x14ac:dyDescent="0.2">
      <c r="A88" s="3"/>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F88" s="3"/>
    </row>
    <row r="89" spans="1:32" ht="9.9499999999999993" customHeight="1" x14ac:dyDescent="0.2">
      <c r="A89" s="3"/>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F89" s="3"/>
    </row>
    <row r="90" spans="1:32" ht="9.9499999999999993" customHeight="1" x14ac:dyDescent="0.2">
      <c r="A90" s="3"/>
      <c r="AF90" s="3"/>
    </row>
    <row r="91" spans="1:32" ht="9.9499999999999993" customHeight="1" x14ac:dyDescent="0.2">
      <c r="A91" s="3"/>
      <c r="C91" s="145" t="s">
        <v>47</v>
      </c>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F91" s="3"/>
    </row>
    <row r="92" spans="1:32" ht="9.9499999999999993" customHeight="1" x14ac:dyDescent="0.2">
      <c r="A92" s="3"/>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F92" s="3"/>
    </row>
    <row r="93" spans="1:32" ht="9.9499999999999993" customHeight="1" x14ac:dyDescent="0.2">
      <c r="A93" s="3"/>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F93" s="3"/>
    </row>
    <row r="94" spans="1:32" ht="9.9499999999999993" customHeight="1" x14ac:dyDescent="0.2">
      <c r="A94" s="3"/>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F94" s="3"/>
    </row>
    <row r="95" spans="1:32" ht="9.9499999999999993" customHeight="1" x14ac:dyDescent="0.2">
      <c r="A95" s="3"/>
      <c r="AF95" s="3"/>
    </row>
    <row r="96" spans="1:32" ht="9.9499999999999993" customHeight="1" x14ac:dyDescent="0.2">
      <c r="A96" s="3"/>
      <c r="C96" s="148" t="s">
        <v>95</v>
      </c>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F96" s="3"/>
    </row>
    <row r="97" spans="1:32" ht="9.9499999999999993" customHeight="1" x14ac:dyDescent="0.2">
      <c r="A97" s="3"/>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F97" s="3"/>
    </row>
    <row r="98" spans="1:32" ht="9.9499999999999993" customHeight="1" x14ac:dyDescent="0.2">
      <c r="A98" s="3"/>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F98" s="3"/>
    </row>
    <row r="99" spans="1:32" ht="9.9499999999999993" customHeight="1" x14ac:dyDescent="0.2">
      <c r="A99" s="3"/>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F99" s="3"/>
    </row>
    <row r="100" spans="1:32" ht="9.9499999999999993" customHeight="1" x14ac:dyDescent="0.2">
      <c r="A100" s="3"/>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F100" s="3"/>
    </row>
    <row r="101" spans="1:32" x14ac:dyDescent="0.2">
      <c r="A101" s="3"/>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F101" s="3"/>
    </row>
    <row r="102" spans="1:32" ht="9.9499999999999993" customHeight="1" x14ac:dyDescent="0.2">
      <c r="A102" s="3"/>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F102" s="3"/>
    </row>
    <row r="103" spans="1:32" ht="9.9499999999999993" customHeight="1" x14ac:dyDescent="0.2">
      <c r="A103" s="3"/>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F103" s="3"/>
    </row>
    <row r="104" spans="1:32" ht="9.9499999999999993" customHeight="1" x14ac:dyDescent="0.2">
      <c r="A104" s="3"/>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F104" s="3"/>
    </row>
    <row r="105" spans="1:32" ht="9.9499999999999993" customHeight="1" x14ac:dyDescent="0.2">
      <c r="A105" s="3"/>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F105" s="3"/>
    </row>
    <row r="106" spans="1:32" ht="9.9499999999999993" customHeight="1" x14ac:dyDescent="0.2">
      <c r="A106" s="3"/>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F106" s="3"/>
    </row>
    <row r="107" spans="1:32" ht="9.9499999999999993" customHeight="1" x14ac:dyDescent="0.2">
      <c r="A107" s="3"/>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F107" s="3"/>
    </row>
    <row r="108" spans="1:32" ht="9.9499999999999993" customHeight="1" x14ac:dyDescent="0.2">
      <c r="A108" s="3"/>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F108" s="3"/>
    </row>
    <row r="109" spans="1:32" ht="9.9499999999999993" customHeight="1" x14ac:dyDescent="0.2">
      <c r="A109" s="3"/>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F109" s="3"/>
    </row>
    <row r="110" spans="1:32" ht="9.9499999999999993" customHeight="1" x14ac:dyDescent="0.2">
      <c r="A110" s="3"/>
      <c r="AF110" s="3"/>
    </row>
    <row r="111" spans="1:32" ht="9.9499999999999993" customHeight="1" x14ac:dyDescent="0.2">
      <c r="A111" s="3"/>
      <c r="C111" s="148" t="s">
        <v>111</v>
      </c>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F111" s="3"/>
    </row>
    <row r="112" spans="1:32" ht="9.9499999999999993" customHeight="1" x14ac:dyDescent="0.2">
      <c r="A112" s="3"/>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F112" s="3"/>
    </row>
    <row r="113" spans="1:32" ht="9.9499999999999993" customHeight="1" x14ac:dyDescent="0.2">
      <c r="A113" s="3"/>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F113" s="3"/>
    </row>
    <row r="114" spans="1:32" ht="9.9499999999999993" customHeight="1" x14ac:dyDescent="0.2">
      <c r="A114" s="3"/>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F114" s="3"/>
    </row>
    <row r="115" spans="1:32" ht="9.9499999999999993" customHeight="1" x14ac:dyDescent="0.2">
      <c r="A115" s="3"/>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F115" s="3"/>
    </row>
    <row r="116" spans="1:32" ht="9.9499999999999993" customHeight="1" x14ac:dyDescent="0.2">
      <c r="A116" s="3"/>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F116" s="3"/>
    </row>
    <row r="117" spans="1:32" ht="9.9499999999999993" customHeight="1" x14ac:dyDescent="0.2">
      <c r="A117" s="3"/>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F117" s="3"/>
    </row>
    <row r="118" spans="1:32" ht="9.9499999999999993" customHeight="1" x14ac:dyDescent="0.2">
      <c r="A118" s="3"/>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F118" s="3"/>
    </row>
    <row r="119" spans="1:32" ht="9.9499999999999993" customHeight="1" x14ac:dyDescent="0.2">
      <c r="A119" s="3"/>
      <c r="AF119" s="3"/>
    </row>
    <row r="120" spans="1:32" ht="9.9499999999999993" customHeight="1" x14ac:dyDescent="0.2">
      <c r="A120" s="3"/>
      <c r="C120" s="136" t="s">
        <v>112</v>
      </c>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F120" s="3"/>
    </row>
    <row r="121" spans="1:32" ht="9.9499999999999993" customHeight="1" x14ac:dyDescent="0.2">
      <c r="A121" s="3"/>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F121" s="3"/>
    </row>
    <row r="122" spans="1:32" ht="9.9499999999999993" customHeight="1" x14ac:dyDescent="0.2">
      <c r="A122" s="3"/>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F122" s="3"/>
    </row>
    <row r="123" spans="1:32" ht="9.9499999999999993" customHeight="1" x14ac:dyDescent="0.2">
      <c r="A123" s="3"/>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F123" s="3"/>
    </row>
    <row r="124" spans="1:32" ht="9.9499999999999993" customHeight="1" x14ac:dyDescent="0.2">
      <c r="A124" s="3"/>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F124" s="3"/>
    </row>
    <row r="125" spans="1:32" ht="9.9499999999999993" customHeight="1" x14ac:dyDescent="0.2">
      <c r="A125" s="3"/>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F125" s="3"/>
    </row>
    <row r="126" spans="1:32" ht="9.9499999999999993" customHeight="1" x14ac:dyDescent="0.2">
      <c r="A126" s="3"/>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F126" s="3"/>
    </row>
    <row r="127" spans="1:32" ht="9.9499999999999993" customHeight="1" x14ac:dyDescent="0.2">
      <c r="A127" s="3"/>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F127" s="3"/>
    </row>
    <row r="128" spans="1:32" ht="9" customHeight="1" x14ac:dyDescent="0.2">
      <c r="A128" s="3"/>
      <c r="AF128" s="3"/>
    </row>
    <row r="129" spans="1:32" ht="9.9499999999999993" customHeight="1" x14ac:dyDescent="0.2">
      <c r="A129" s="3"/>
      <c r="C129" s="136" t="s">
        <v>51</v>
      </c>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F129" s="3"/>
    </row>
    <row r="130" spans="1:32" ht="9.9499999999999993" customHeight="1" x14ac:dyDescent="0.2">
      <c r="A130" s="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F130" s="3"/>
    </row>
    <row r="131" spans="1:32" ht="9.9499999999999993" customHeight="1" x14ac:dyDescent="0.2">
      <c r="A131" s="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F131" s="3"/>
    </row>
    <row r="132" spans="1:32" ht="9.9499999999999993" customHeight="1" x14ac:dyDescent="0.2">
      <c r="A132" s="3"/>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F132" s="3"/>
    </row>
    <row r="133" spans="1:32" ht="9.9499999999999993" customHeight="1" x14ac:dyDescent="0.2">
      <c r="A133" s="3"/>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F133" s="3"/>
    </row>
    <row r="134" spans="1:32" ht="9.9499999999999993" customHeight="1" x14ac:dyDescent="0.2">
      <c r="A134" s="3"/>
      <c r="C134" s="146" t="s">
        <v>162</v>
      </c>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F134" s="3"/>
    </row>
    <row r="135" spans="1:32" ht="9.9499999999999993" customHeight="1" x14ac:dyDescent="0.2">
      <c r="A135" s="3"/>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F135" s="3"/>
    </row>
    <row r="136" spans="1:32" ht="9.9499999999999993" customHeight="1" x14ac:dyDescent="0.2">
      <c r="A136" s="3"/>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F136" s="3"/>
    </row>
    <row r="137" spans="1:32" ht="9.9499999999999993" customHeight="1" x14ac:dyDescent="0.2">
      <c r="A137" s="3"/>
      <c r="C137" s="136" t="s">
        <v>96</v>
      </c>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F137" s="3"/>
    </row>
    <row r="138" spans="1:32" ht="9.9499999999999993" customHeight="1" x14ac:dyDescent="0.2">
      <c r="A138" s="3"/>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F138" s="3"/>
    </row>
    <row r="139" spans="1:32" ht="7.5" customHeight="1" x14ac:dyDescent="0.2">
      <c r="A139" s="3"/>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F139" s="3"/>
    </row>
    <row r="140" spans="1:32" ht="7.5" customHeight="1" x14ac:dyDescent="0.2">
      <c r="A140" s="3"/>
      <c r="AF140" s="3"/>
    </row>
    <row r="141" spans="1:32" ht="9.9499999999999993" customHeight="1" x14ac:dyDescent="0.2">
      <c r="A141" s="3"/>
      <c r="C141" s="137" t="s">
        <v>113</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F141" s="3"/>
    </row>
    <row r="142" spans="1:32" ht="9.9499999999999993" customHeight="1" x14ac:dyDescent="0.2">
      <c r="A142" s="3"/>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F142" s="3"/>
    </row>
    <row r="143" spans="1:32" ht="9.9499999999999993" customHeight="1" x14ac:dyDescent="0.2">
      <c r="A143" s="3"/>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F143" s="3"/>
    </row>
    <row r="144" spans="1:32" ht="9.9499999999999993" customHeight="1" x14ac:dyDescent="0.2">
      <c r="A144" s="3"/>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F144" s="3"/>
    </row>
    <row r="145" spans="1:32" ht="9.9499999999999993" customHeight="1" x14ac:dyDescent="0.2">
      <c r="A145" s="3"/>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F145" s="3"/>
    </row>
    <row r="146" spans="1:32" ht="9.9499999999999993" customHeight="1" x14ac:dyDescent="0.2">
      <c r="A146" s="3"/>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F146" s="3"/>
    </row>
    <row r="147" spans="1:32" ht="9.9499999999999993" customHeight="1" x14ac:dyDescent="0.2">
      <c r="A147" s="3"/>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F147" s="3"/>
    </row>
    <row r="148" spans="1:32" ht="9.9499999999999993" customHeight="1" x14ac:dyDescent="0.2">
      <c r="A148" s="3"/>
      <c r="C148" s="138" t="s">
        <v>52</v>
      </c>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F148" s="3"/>
    </row>
    <row r="149" spans="1:32" ht="9.9499999999999993" customHeight="1" x14ac:dyDescent="0.2">
      <c r="A149" s="3"/>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F149" s="3"/>
    </row>
    <row r="150" spans="1:32" ht="9.9499999999999993" customHeight="1" x14ac:dyDescent="0.2">
      <c r="A150" s="3"/>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F150" s="3"/>
    </row>
    <row r="151" spans="1:32" ht="9.9499999999999993" customHeight="1" x14ac:dyDescent="0.2">
      <c r="A151" s="3"/>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F151" s="3"/>
    </row>
    <row r="152" spans="1:32" ht="9.9499999999999993" customHeight="1" x14ac:dyDescent="0.2">
      <c r="A152" s="3"/>
      <c r="C152" s="140" t="s">
        <v>250</v>
      </c>
      <c r="D152" s="140"/>
      <c r="E152" s="140"/>
      <c r="F152" s="140"/>
      <c r="G152" s="140"/>
      <c r="H152" s="140"/>
      <c r="I152" s="140"/>
      <c r="J152" s="140"/>
      <c r="K152" s="140"/>
      <c r="L152" s="140"/>
      <c r="M152" s="140"/>
      <c r="O152" s="135" t="s">
        <v>145</v>
      </c>
      <c r="P152" s="135"/>
      <c r="Q152" s="135"/>
      <c r="R152" s="135"/>
      <c r="S152" s="135"/>
      <c r="T152" s="135"/>
      <c r="U152" s="135"/>
      <c r="V152" s="135"/>
      <c r="W152" s="135"/>
      <c r="X152" s="135"/>
      <c r="Y152" s="135"/>
      <c r="Z152" s="135"/>
      <c r="AA152" s="135"/>
      <c r="AB152" s="135"/>
      <c r="AC152" s="135"/>
      <c r="AD152" s="135"/>
      <c r="AF152" s="3"/>
    </row>
    <row r="153" spans="1:32" ht="9.9499999999999993" customHeight="1" x14ac:dyDescent="0.2">
      <c r="A153" s="3"/>
      <c r="C153" s="139" t="s">
        <v>249</v>
      </c>
      <c r="D153" s="139"/>
      <c r="E153" s="139"/>
      <c r="F153" s="139"/>
      <c r="G153" s="139"/>
      <c r="H153" s="139"/>
      <c r="I153" s="139"/>
      <c r="J153" s="139"/>
      <c r="K153" s="139"/>
      <c r="L153" s="139"/>
      <c r="M153" s="139"/>
      <c r="O153" s="135" t="str">
        <f>C12</f>
        <v>GILBERTO MONTOYA    Id 4543532</v>
      </c>
      <c r="P153" s="135"/>
      <c r="Q153" s="135"/>
      <c r="R153" s="135"/>
      <c r="S153" s="135"/>
      <c r="T153" s="135"/>
      <c r="U153" s="135"/>
      <c r="V153" s="135"/>
      <c r="W153" s="135"/>
      <c r="X153" s="135"/>
      <c r="Y153" s="135"/>
      <c r="Z153" s="135"/>
      <c r="AA153" s="135"/>
      <c r="AB153" s="135"/>
      <c r="AC153" s="135"/>
      <c r="AD153" s="135"/>
      <c r="AF153" s="3"/>
    </row>
    <row r="154" spans="1:32" ht="9.9499999999999993" customHeight="1" x14ac:dyDescent="0.2">
      <c r="A154" s="3"/>
      <c r="O154" s="141" t="s">
        <v>48</v>
      </c>
      <c r="P154" s="141"/>
      <c r="Q154" s="141"/>
      <c r="R154" s="141"/>
      <c r="S154" s="141"/>
      <c r="T154" s="141"/>
      <c r="U154" s="141"/>
      <c r="V154" s="141"/>
      <c r="W154" s="141"/>
      <c r="X154" s="141"/>
      <c r="Y154" s="141"/>
      <c r="Z154" s="141"/>
      <c r="AA154" s="141"/>
      <c r="AB154" s="141"/>
      <c r="AC154" s="141"/>
      <c r="AD154" s="141"/>
      <c r="AF154" s="3"/>
    </row>
    <row r="155" spans="1:32" ht="9.9499999999999993" customHeight="1" x14ac:dyDescent="0.2">
      <c r="A155" s="3"/>
      <c r="AF155" s="3"/>
    </row>
    <row r="156" spans="1:32" ht="9.9499999999999993" customHeight="1" x14ac:dyDescent="0.2">
      <c r="A156" s="3"/>
      <c r="AA156" s="142">
        <v>380544</v>
      </c>
      <c r="AB156" s="142"/>
      <c r="AC156" s="142"/>
      <c r="AD156" s="142"/>
      <c r="AF156" s="3"/>
    </row>
    <row r="157" spans="1:32" ht="9.9499999999999993" customHeight="1" x14ac:dyDescent="0.2">
      <c r="A157" s="3"/>
      <c r="AF157" s="3"/>
    </row>
    <row r="158" spans="1:32" ht="4.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sheetData>
  <sheetProtection password="DEDD" sheet="1"/>
  <mergeCells count="87">
    <mergeCell ref="I2:X3"/>
    <mergeCell ref="J4:V6"/>
    <mergeCell ref="J7:V9"/>
    <mergeCell ref="X12:Y12"/>
    <mergeCell ref="C19:R24"/>
    <mergeCell ref="S19:W24"/>
    <mergeCell ref="X19:AD24"/>
    <mergeCell ref="Z12:AC12"/>
    <mergeCell ref="C14:AD17"/>
    <mergeCell ref="X8:AD9"/>
    <mergeCell ref="U45:X46"/>
    <mergeCell ref="C25:L28"/>
    <mergeCell ref="M25:R26"/>
    <mergeCell ref="S25:W26"/>
    <mergeCell ref="X25:AD26"/>
    <mergeCell ref="C18:J18"/>
    <mergeCell ref="S27:W28"/>
    <mergeCell ref="C35:I36"/>
    <mergeCell ref="S18:W18"/>
    <mergeCell ref="X18:AD18"/>
    <mergeCell ref="M27:R28"/>
    <mergeCell ref="Y45:AD46"/>
    <mergeCell ref="X27:AD28"/>
    <mergeCell ref="C46:Q51"/>
    <mergeCell ref="X31:AD32"/>
    <mergeCell ref="C29:L32"/>
    <mergeCell ref="M29:R30"/>
    <mergeCell ref="S29:W30"/>
    <mergeCell ref="X29:AD30"/>
    <mergeCell ref="M31:R32"/>
    <mergeCell ref="S31:W32"/>
    <mergeCell ref="Y55:AD56"/>
    <mergeCell ref="U37:AD38"/>
    <mergeCell ref="C38:Q41"/>
    <mergeCell ref="U39:X40"/>
    <mergeCell ref="Y39:AD40"/>
    <mergeCell ref="U41:X42"/>
    <mergeCell ref="Y41:AD42"/>
    <mergeCell ref="C42:Q45"/>
    <mergeCell ref="U43:X44"/>
    <mergeCell ref="U51:X52"/>
    <mergeCell ref="Y51:AD52"/>
    <mergeCell ref="U53:X54"/>
    <mergeCell ref="U71:X72"/>
    <mergeCell ref="Y71:AD72"/>
    <mergeCell ref="Y43:AD44"/>
    <mergeCell ref="U47:X48"/>
    <mergeCell ref="Y47:AD48"/>
    <mergeCell ref="U49:X50"/>
    <mergeCell ref="Y49:AD50"/>
    <mergeCell ref="Y77:AD78"/>
    <mergeCell ref="U57:AD58"/>
    <mergeCell ref="U59:AD60"/>
    <mergeCell ref="C60:Q67"/>
    <mergeCell ref="U67:AD68"/>
    <mergeCell ref="U69:X70"/>
    <mergeCell ref="Y69:AD70"/>
    <mergeCell ref="U75:X76"/>
    <mergeCell ref="Y75:AD76"/>
    <mergeCell ref="C57:Q59"/>
    <mergeCell ref="C120:AD127"/>
    <mergeCell ref="Y73:AD74"/>
    <mergeCell ref="C72:Q74"/>
    <mergeCell ref="AM19:AQ24"/>
    <mergeCell ref="C91:AD94"/>
    <mergeCell ref="U77:X78"/>
    <mergeCell ref="Y53:AD54"/>
    <mergeCell ref="U55:X56"/>
    <mergeCell ref="C69:Q71"/>
    <mergeCell ref="C75:R79"/>
    <mergeCell ref="O154:AD154"/>
    <mergeCell ref="AA156:AD156"/>
    <mergeCell ref="C12:P12"/>
    <mergeCell ref="C52:Q55"/>
    <mergeCell ref="C86:AD89"/>
    <mergeCell ref="C134:AD136"/>
    <mergeCell ref="C137:AD139"/>
    <mergeCell ref="U73:X74"/>
    <mergeCell ref="C96:AD109"/>
    <mergeCell ref="C111:AD118"/>
    <mergeCell ref="O152:AD152"/>
    <mergeCell ref="C129:AD132"/>
    <mergeCell ref="C141:AD146"/>
    <mergeCell ref="C148:AD151"/>
    <mergeCell ref="C153:M153"/>
    <mergeCell ref="C152:M152"/>
    <mergeCell ref="O153:AD153"/>
  </mergeCells>
  <pageMargins left="0.39370078740157483" right="0.75" top="0.39370078740157483"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Y294"/>
  <sheetViews>
    <sheetView showRowColHeaders="0" topLeftCell="B1" workbookViewId="0">
      <selection activeCell="H1" sqref="H1:S65536"/>
    </sheetView>
  </sheetViews>
  <sheetFormatPr baseColWidth="10" defaultRowHeight="15" x14ac:dyDescent="0.25"/>
  <cols>
    <col min="1" max="1" width="11.42578125" style="39"/>
    <col min="2" max="2" width="20.85546875" style="12" customWidth="1"/>
    <col min="3" max="3" width="15.5703125" style="12" customWidth="1"/>
    <col min="4" max="4" width="5.7109375" style="12" customWidth="1"/>
    <col min="5" max="5" width="15.7109375" style="12" customWidth="1"/>
    <col min="6" max="6" width="24" style="12" customWidth="1"/>
    <col min="7" max="7" width="11.42578125" style="12" customWidth="1"/>
    <col min="8" max="9" width="11.42578125" style="12" hidden="1" customWidth="1"/>
    <col min="10" max="10" width="13.5703125" style="12" hidden="1" customWidth="1"/>
    <col min="11" max="13" width="11.42578125" style="12" hidden="1" customWidth="1"/>
    <col min="14" max="15" width="24.85546875" style="12" hidden="1" customWidth="1"/>
    <col min="16" max="17" width="11.42578125" style="12" hidden="1" customWidth="1"/>
    <col min="18" max="18" width="22.140625" style="12" hidden="1" customWidth="1"/>
    <col min="19" max="19" width="11.42578125" style="12" hidden="1" customWidth="1"/>
    <col min="20" max="31" width="11.42578125" style="12" customWidth="1"/>
    <col min="32" max="16384" width="11.42578125" style="12"/>
  </cols>
  <sheetData>
    <row r="1" spans="2:25" x14ac:dyDescent="0.25">
      <c r="I1" s="12" t="s">
        <v>152</v>
      </c>
      <c r="S1" s="30"/>
    </row>
    <row r="2" spans="2:25" ht="15.75" thickBot="1" x14ac:dyDescent="0.3">
      <c r="B2" s="37" t="s">
        <v>12</v>
      </c>
      <c r="C2" s="235" t="s">
        <v>83</v>
      </c>
      <c r="D2" s="235"/>
      <c r="E2" s="235"/>
      <c r="F2" s="235"/>
      <c r="I2" s="12">
        <v>2019</v>
      </c>
      <c r="J2" s="13">
        <v>0</v>
      </c>
      <c r="L2" s="12" t="s">
        <v>84</v>
      </c>
      <c r="N2" s="12" t="s">
        <v>53</v>
      </c>
      <c r="O2" s="31">
        <v>2</v>
      </c>
    </row>
    <row r="3" spans="2:25" ht="15.75" thickBot="1" x14ac:dyDescent="0.3">
      <c r="B3" s="37" t="s">
        <v>86</v>
      </c>
      <c r="C3" s="233">
        <v>4543532</v>
      </c>
      <c r="D3" s="233"/>
      <c r="E3" s="233"/>
      <c r="F3" s="233"/>
      <c r="I3" s="12">
        <v>2018</v>
      </c>
      <c r="J3" s="13">
        <v>0</v>
      </c>
      <c r="L3" s="12" t="s">
        <v>82</v>
      </c>
      <c r="N3" s="12" t="s">
        <v>4</v>
      </c>
      <c r="O3" s="31">
        <v>2</v>
      </c>
      <c r="Y3" s="64" t="s">
        <v>520</v>
      </c>
    </row>
    <row r="4" spans="2:25" ht="15.75" thickBot="1" x14ac:dyDescent="0.3">
      <c r="B4" s="37" t="s">
        <v>18</v>
      </c>
      <c r="C4" s="233" t="s">
        <v>87</v>
      </c>
      <c r="D4" s="233"/>
      <c r="E4" s="233"/>
      <c r="F4" s="233"/>
      <c r="I4" s="12">
        <v>2017</v>
      </c>
      <c r="J4" s="13">
        <v>1</v>
      </c>
      <c r="N4" s="12" t="s">
        <v>54</v>
      </c>
      <c r="O4" s="31">
        <v>2</v>
      </c>
      <c r="R4" s="12" t="s">
        <v>120</v>
      </c>
    </row>
    <row r="5" spans="2:25" ht="15.75" thickBot="1" x14ac:dyDescent="0.3">
      <c r="B5" s="37" t="s">
        <v>101</v>
      </c>
      <c r="C5" s="233" t="s">
        <v>84</v>
      </c>
      <c r="D5" s="233"/>
      <c r="E5" s="233"/>
      <c r="F5" s="233"/>
      <c r="I5" s="12">
        <v>2016</v>
      </c>
      <c r="J5" s="13">
        <v>2</v>
      </c>
      <c r="N5" s="12" t="s">
        <v>55</v>
      </c>
      <c r="O5" s="31">
        <v>2</v>
      </c>
      <c r="R5" s="23" t="s">
        <v>156</v>
      </c>
    </row>
    <row r="6" spans="2:25" ht="15.75" thickBot="1" x14ac:dyDescent="0.3">
      <c r="B6" s="37" t="s">
        <v>100</v>
      </c>
      <c r="C6" s="233" t="s">
        <v>85</v>
      </c>
      <c r="D6" s="233"/>
      <c r="E6" s="233"/>
      <c r="F6" s="233"/>
      <c r="I6" s="12">
        <v>2015</v>
      </c>
      <c r="J6" s="13">
        <v>3</v>
      </c>
      <c r="N6" s="12" t="s">
        <v>56</v>
      </c>
      <c r="O6" s="31">
        <v>2</v>
      </c>
      <c r="R6" s="23" t="s">
        <v>157</v>
      </c>
    </row>
    <row r="7" spans="2:25" ht="15.75" thickBot="1" x14ac:dyDescent="0.3">
      <c r="B7" s="37" t="s">
        <v>8</v>
      </c>
      <c r="C7" s="233" t="str">
        <f>VLOOKUP(J12,Fasecolda!A2:H150,8,FALSE)</f>
        <v>00317071 AUTECO BAJAJ PULSAR 160 NS MT 160CC</v>
      </c>
      <c r="D7" s="233"/>
      <c r="E7" s="233"/>
      <c r="F7" s="233"/>
      <c r="I7" s="12">
        <v>2014</v>
      </c>
      <c r="J7" s="13" t="s">
        <v>153</v>
      </c>
      <c r="N7" s="12" t="s">
        <v>57</v>
      </c>
      <c r="O7" s="31">
        <v>2</v>
      </c>
      <c r="R7" s="23" t="s">
        <v>158</v>
      </c>
    </row>
    <row r="8" spans="2:25" ht="15.75" thickBot="1" x14ac:dyDescent="0.3">
      <c r="B8" s="37" t="s">
        <v>99</v>
      </c>
      <c r="C8" s="232" t="s">
        <v>479</v>
      </c>
      <c r="D8" s="232"/>
      <c r="E8" s="232"/>
      <c r="F8" s="232"/>
      <c r="H8" s="12" t="s">
        <v>92</v>
      </c>
      <c r="I8" s="17">
        <v>43131</v>
      </c>
      <c r="L8" s="46" t="s">
        <v>456</v>
      </c>
      <c r="N8" s="12" t="s">
        <v>19</v>
      </c>
      <c r="O8" s="31">
        <v>2</v>
      </c>
      <c r="R8" s="23" t="s">
        <v>159</v>
      </c>
    </row>
    <row r="9" spans="2:25" ht="15.75" thickBot="1" x14ac:dyDescent="0.3">
      <c r="B9" s="37" t="s">
        <v>9</v>
      </c>
      <c r="C9" s="233">
        <v>2014</v>
      </c>
      <c r="D9" s="233"/>
      <c r="E9" s="233"/>
      <c r="F9" s="233"/>
      <c r="I9" s="17">
        <f ca="1">TODAY()</f>
        <v>43124</v>
      </c>
      <c r="L9" s="46" t="s">
        <v>88</v>
      </c>
      <c r="N9" s="12" t="s">
        <v>58</v>
      </c>
      <c r="O9" s="31">
        <v>2</v>
      </c>
      <c r="R9" s="23" t="s">
        <v>121</v>
      </c>
    </row>
    <row r="10" spans="2:25" ht="15.75" thickBot="1" x14ac:dyDescent="0.3">
      <c r="B10" s="37" t="s">
        <v>10</v>
      </c>
      <c r="C10" s="234">
        <v>10000000</v>
      </c>
      <c r="D10" s="234"/>
      <c r="E10" s="234"/>
      <c r="F10" s="234"/>
      <c r="L10" s="46" t="s">
        <v>89</v>
      </c>
      <c r="N10" s="12" t="s">
        <v>59</v>
      </c>
      <c r="O10" s="31">
        <v>1</v>
      </c>
      <c r="R10" s="23" t="s">
        <v>122</v>
      </c>
    </row>
    <row r="11" spans="2:25" ht="15.75" thickBot="1" x14ac:dyDescent="0.3">
      <c r="B11" s="37" t="s">
        <v>102</v>
      </c>
      <c r="C11" s="233" t="s">
        <v>54</v>
      </c>
      <c r="D11" s="233"/>
      <c r="E11" s="233"/>
      <c r="F11" s="233"/>
      <c r="N11" s="12" t="s">
        <v>17</v>
      </c>
      <c r="O11" s="31">
        <v>1</v>
      </c>
      <c r="R11" s="23" t="s">
        <v>140</v>
      </c>
    </row>
    <row r="12" spans="2:25" ht="15.75" thickBot="1" x14ac:dyDescent="0.3">
      <c r="B12" s="37" t="s">
        <v>120</v>
      </c>
      <c r="C12" s="233" t="s">
        <v>159</v>
      </c>
      <c r="D12" s="233"/>
      <c r="E12" s="233"/>
      <c r="F12" s="233"/>
      <c r="I12" s="12" t="s">
        <v>251</v>
      </c>
      <c r="J12" s="62" t="str">
        <f>+C8</f>
        <v>00317071</v>
      </c>
      <c r="N12" s="12" t="s">
        <v>60</v>
      </c>
      <c r="O12" s="31">
        <v>1</v>
      </c>
      <c r="R12" s="23" t="s">
        <v>141</v>
      </c>
    </row>
    <row r="13" spans="2:25" x14ac:dyDescent="0.25">
      <c r="H13" s="13"/>
      <c r="I13" s="12" t="s">
        <v>455</v>
      </c>
      <c r="J13" s="63" t="str">
        <f>VLOOKUP(J12,Fasecolda!A2:B150,2,FALSE)</f>
        <v>AUTECO</v>
      </c>
      <c r="K13" s="13"/>
      <c r="N13" s="12" t="s">
        <v>19</v>
      </c>
      <c r="O13" s="31">
        <v>2</v>
      </c>
      <c r="R13" s="23" t="s">
        <v>142</v>
      </c>
    </row>
    <row r="14" spans="2:25" ht="15.75" thickBot="1" x14ac:dyDescent="0.3">
      <c r="B14" s="37" t="s">
        <v>90</v>
      </c>
      <c r="C14" s="14"/>
      <c r="D14" s="14"/>
      <c r="E14" s="15" t="s">
        <v>10</v>
      </c>
      <c r="F14" s="15" t="s">
        <v>34</v>
      </c>
      <c r="H14" s="13"/>
      <c r="I14" s="12" t="s">
        <v>457</v>
      </c>
      <c r="J14" s="47">
        <f>VLOOKUP(J12,Fasecolda!A2:D150,4,FALSE)</f>
        <v>1</v>
      </c>
      <c r="K14" s="13"/>
      <c r="N14" s="12" t="s">
        <v>61</v>
      </c>
      <c r="O14" s="31">
        <v>2</v>
      </c>
    </row>
    <row r="15" spans="2:25" ht="15.75" thickBot="1" x14ac:dyDescent="0.3">
      <c r="B15" s="38" t="s">
        <v>103</v>
      </c>
      <c r="C15" s="27"/>
      <c r="D15" s="27"/>
      <c r="E15" s="25" t="str">
        <f>IF(F15="No aplica","No contratado","$320.000.000")</f>
        <v>$320.000.000</v>
      </c>
      <c r="F15" s="36" t="str">
        <f>+VLOOKUP(B15,'Tasas y Propuestas'!$C$32:$M$37,VLOOKUP(Cotizador!$C$12,'Tasas y Propuestas'!$E$40:$F$48,2,0)+2,0)</f>
        <v>0% - 0</v>
      </c>
      <c r="I15" s="31" t="s">
        <v>2</v>
      </c>
      <c r="J15" s="63" t="str">
        <f>VLOOKUP(J12,Fasecolda!A2:C150,3,FALSE)</f>
        <v>MOTOCICLETA</v>
      </c>
      <c r="N15" s="12" t="s">
        <v>62</v>
      </c>
      <c r="O15" s="31">
        <v>2</v>
      </c>
    </row>
    <row r="16" spans="2:25" ht="15.75" thickBot="1" x14ac:dyDescent="0.3">
      <c r="B16" s="37" t="s">
        <v>104</v>
      </c>
      <c r="C16" s="14"/>
      <c r="D16" s="14"/>
      <c r="E16" s="26">
        <f>+IF(F16="No aplica","No contratado",$C$10)</f>
        <v>10000000</v>
      </c>
      <c r="F16" s="36" t="str">
        <f>+VLOOKUP(B16,'Tasas y Propuestas'!$C$32:$M$37,VLOOKUP(Cotizador!$C$12,'Tasas y Propuestas'!$E$40:$F$48,2,0)+2,0)</f>
        <v>30% - min 1 SMMLV</v>
      </c>
      <c r="I16" s="12" t="s">
        <v>146</v>
      </c>
      <c r="J16" s="47">
        <f>VLOOKUP(C11,N2:O34,2,0)</f>
        <v>2</v>
      </c>
      <c r="N16" s="12" t="s">
        <v>63</v>
      </c>
      <c r="O16" s="31">
        <v>2</v>
      </c>
    </row>
    <row r="17" spans="1:15" ht="15.75" thickBot="1" x14ac:dyDescent="0.3">
      <c r="B17" s="37" t="s">
        <v>105</v>
      </c>
      <c r="C17" s="14"/>
      <c r="D17" s="14"/>
      <c r="E17" s="26">
        <f>+IF(F17="No aplica","No contratado",$C$10)</f>
        <v>10000000</v>
      </c>
      <c r="F17" s="36" t="str">
        <f>+VLOOKUP(B17,'Tasas y Propuestas'!$C$32:$M$37,VLOOKUP(Cotizador!$C$12,'Tasas y Propuestas'!$E$40:$F$48,2,0)+2,0)</f>
        <v>30% - min 0 SMMLV</v>
      </c>
      <c r="G17" s="64" t="s">
        <v>379</v>
      </c>
      <c r="I17" s="12" t="s">
        <v>152</v>
      </c>
      <c r="J17" s="47" t="str">
        <f>VLOOKUP(C9,I2:J7,2,0)</f>
        <v>%</v>
      </c>
      <c r="N17" s="12" t="s">
        <v>64</v>
      </c>
      <c r="O17" s="31">
        <v>2</v>
      </c>
    </row>
    <row r="18" spans="1:15" ht="15.75" thickBot="1" x14ac:dyDescent="0.3">
      <c r="B18" s="37" t="s">
        <v>106</v>
      </c>
      <c r="C18" s="14"/>
      <c r="D18" s="14"/>
      <c r="E18" s="26">
        <f>+IF(F18="No aplica","No contratado",$C$10)</f>
        <v>10000000</v>
      </c>
      <c r="F18" s="36" t="str">
        <f>+VLOOKUP(B18,'Tasas y Propuestas'!$C$32:$M$37,VLOOKUP(Cotizador!$C$12,'Tasas y Propuestas'!$E$40:$F$48,2,0)+2,0)</f>
        <v>30% - min 1 SMMLV</v>
      </c>
      <c r="I18" s="12" t="s">
        <v>120</v>
      </c>
      <c r="J18" s="47">
        <f>+VLOOKUP(C12,'Tasas y Propuestas'!E39:F48,2,0)</f>
        <v>4</v>
      </c>
      <c r="N18" s="12" t="s">
        <v>65</v>
      </c>
      <c r="O18" s="31">
        <v>2</v>
      </c>
    </row>
    <row r="19" spans="1:15" ht="15.75" thickBot="1" x14ac:dyDescent="0.3">
      <c r="B19" s="37" t="s">
        <v>107</v>
      </c>
      <c r="C19" s="14"/>
      <c r="D19" s="14"/>
      <c r="E19" s="26">
        <f>+IF(F19="No aplica","No contratado",$C$10)</f>
        <v>10000000</v>
      </c>
      <c r="F19" s="36" t="str">
        <f>+VLOOKUP(B19,'Tasas y Propuestas'!$C$32:$M$37,VLOOKUP(Cotizador!$C$12,'Tasas y Propuestas'!$E$40:$F$48,2,0)+2,0)</f>
        <v>30% - min 0 SMMLV</v>
      </c>
      <c r="I19" s="12" t="s">
        <v>127</v>
      </c>
      <c r="J19" s="48">
        <f>VLOOKUP(L30,'Tasas y Propuestas'!B4:M13,J18+3,FALSE)</f>
        <v>0.12720000000000001</v>
      </c>
      <c r="N19" s="12" t="s">
        <v>66</v>
      </c>
      <c r="O19" s="31">
        <v>2</v>
      </c>
    </row>
    <row r="20" spans="1:15" ht="15.75" thickBot="1" x14ac:dyDescent="0.3">
      <c r="B20" s="37" t="s">
        <v>123</v>
      </c>
      <c r="C20" s="14"/>
      <c r="D20" s="14"/>
      <c r="E20" s="26">
        <v>20000000</v>
      </c>
      <c r="F20" s="36" t="str">
        <f>+VLOOKUP(B20,'Tasas y Propuestas'!$C$32:$M$37,VLOOKUP(Cotizador!$C$12,'Tasas y Propuestas'!$E$40:$F$48,2,0)+2,0)</f>
        <v>Ver condicionando</v>
      </c>
      <c r="I20" s="12" t="s">
        <v>128</v>
      </c>
      <c r="J20" s="49">
        <f>IF(J16=1,((J19*C10)/12)*1,(J19*C10)/12)</f>
        <v>106000</v>
      </c>
      <c r="N20" s="12" t="s">
        <v>67</v>
      </c>
      <c r="O20" s="31">
        <v>2</v>
      </c>
    </row>
    <row r="21" spans="1:15" ht="15.75" thickBot="1" x14ac:dyDescent="0.3">
      <c r="B21" s="37" t="s">
        <v>91</v>
      </c>
      <c r="C21" s="14"/>
      <c r="D21" s="14"/>
      <c r="E21" s="16" t="s">
        <v>89</v>
      </c>
      <c r="F21" s="15"/>
      <c r="I21" s="12" t="s">
        <v>93</v>
      </c>
      <c r="J21" s="49">
        <f>+IF(E21="SI",TRUNC(50000/12),0)</f>
        <v>0</v>
      </c>
      <c r="N21" s="12" t="s">
        <v>68</v>
      </c>
      <c r="O21" s="31">
        <v>2</v>
      </c>
    </row>
    <row r="22" spans="1:15" x14ac:dyDescent="0.25">
      <c r="I22" s="12" t="s">
        <v>130</v>
      </c>
      <c r="J22" s="49">
        <f ca="1">IF(I8&lt;I9,"Cotizador desactualizado",+J21+J20)</f>
        <v>106000</v>
      </c>
      <c r="N22" s="12" t="s">
        <v>69</v>
      </c>
      <c r="O22" s="31">
        <v>1</v>
      </c>
    </row>
    <row r="23" spans="1:15" x14ac:dyDescent="0.25">
      <c r="I23" s="12" t="s">
        <v>129</v>
      </c>
      <c r="J23" s="49">
        <f ca="1">+TRUNC(J22*0.19)</f>
        <v>20140</v>
      </c>
      <c r="N23" s="12" t="s">
        <v>70</v>
      </c>
      <c r="O23" s="31">
        <v>2</v>
      </c>
    </row>
    <row r="24" spans="1:15" x14ac:dyDescent="0.25">
      <c r="A24" s="40"/>
      <c r="J24" s="47"/>
      <c r="N24" s="12" t="s">
        <v>71</v>
      </c>
      <c r="O24" s="31">
        <v>2</v>
      </c>
    </row>
    <row r="25" spans="1:15" x14ac:dyDescent="0.25">
      <c r="A25" s="12"/>
      <c r="J25" s="49">
        <f>+TRUNC(($J$19*$C$10+$J$19*$C$10*$K$27/365))</f>
        <v>1272000</v>
      </c>
      <c r="N25" s="12" t="s">
        <v>72</v>
      </c>
      <c r="O25" s="31">
        <v>2</v>
      </c>
    </row>
    <row r="26" spans="1:15" x14ac:dyDescent="0.25">
      <c r="A26" s="12"/>
      <c r="J26" s="49">
        <f>+IF($E$21="SI",TRUNC(50000),0)</f>
        <v>0</v>
      </c>
      <c r="K26" s="29">
        <f>+ROUND(SUM(J25:J26)/C10,4)</f>
        <v>0.12720000000000001</v>
      </c>
      <c r="N26" s="12" t="s">
        <v>73</v>
      </c>
      <c r="O26" s="31">
        <v>2</v>
      </c>
    </row>
    <row r="27" spans="1:15" x14ac:dyDescent="0.25">
      <c r="A27" s="12"/>
      <c r="N27" s="12" t="s">
        <v>74</v>
      </c>
      <c r="O27" s="31">
        <v>2</v>
      </c>
    </row>
    <row r="28" spans="1:15" x14ac:dyDescent="0.25">
      <c r="A28" s="12"/>
      <c r="N28" s="12" t="s">
        <v>75</v>
      </c>
      <c r="O28" s="31">
        <v>2</v>
      </c>
    </row>
    <row r="29" spans="1:15" x14ac:dyDescent="0.25">
      <c r="A29" s="12"/>
      <c r="I29" s="46" t="s">
        <v>457</v>
      </c>
      <c r="J29" s="46" t="s">
        <v>474</v>
      </c>
      <c r="K29" s="46" t="s">
        <v>476</v>
      </c>
      <c r="L29" s="46" t="s">
        <v>475</v>
      </c>
      <c r="N29" s="12" t="s">
        <v>76</v>
      </c>
      <c r="O29" s="31">
        <v>2</v>
      </c>
    </row>
    <row r="30" spans="1:15" x14ac:dyDescent="0.25">
      <c r="A30" s="12"/>
      <c r="I30" s="52">
        <f>+J14</f>
        <v>1</v>
      </c>
      <c r="J30" s="52">
        <f>IF(J15="MOTOCICLETA",1,2)</f>
        <v>1</v>
      </c>
      <c r="K30" s="52" t="str">
        <f>J17</f>
        <v>%</v>
      </c>
      <c r="L30" s="52" t="str">
        <f>CONCATENATE(I30&amp;J30&amp;K30)</f>
        <v>11%</v>
      </c>
      <c r="N30" s="12" t="s">
        <v>77</v>
      </c>
      <c r="O30" s="31">
        <v>2</v>
      </c>
    </row>
    <row r="31" spans="1:15" x14ac:dyDescent="0.25">
      <c r="A31" s="12"/>
      <c r="N31" s="12" t="s">
        <v>78</v>
      </c>
      <c r="O31" s="31">
        <v>2</v>
      </c>
    </row>
    <row r="32" spans="1:15" x14ac:dyDescent="0.25">
      <c r="A32" s="12"/>
      <c r="N32" s="12" t="s">
        <v>79</v>
      </c>
      <c r="O32" s="31">
        <v>2</v>
      </c>
    </row>
    <row r="33" spans="1:15" x14ac:dyDescent="0.25">
      <c r="A33" s="12"/>
      <c r="N33" s="12" t="s">
        <v>80</v>
      </c>
      <c r="O33" s="31">
        <v>2</v>
      </c>
    </row>
    <row r="34" spans="1:15" x14ac:dyDescent="0.25">
      <c r="A34" s="12"/>
      <c r="E34" s="39"/>
      <c r="N34" s="12" t="s">
        <v>81</v>
      </c>
      <c r="O34" s="31">
        <v>2</v>
      </c>
    </row>
    <row r="35" spans="1:15" x14ac:dyDescent="0.25">
      <c r="A35" s="12"/>
    </row>
    <row r="36" spans="1:15" x14ac:dyDescent="0.25">
      <c r="A36" s="12"/>
    </row>
    <row r="37" spans="1:15" x14ac:dyDescent="0.25">
      <c r="A37" s="12"/>
    </row>
    <row r="38" spans="1:15" x14ac:dyDescent="0.25">
      <c r="A38" s="12"/>
    </row>
    <row r="39" spans="1:15" x14ac:dyDescent="0.25">
      <c r="A39" s="12"/>
    </row>
    <row r="40" spans="1:15" x14ac:dyDescent="0.25">
      <c r="A40" s="12"/>
    </row>
    <row r="41" spans="1:15" x14ac:dyDescent="0.25">
      <c r="A41" s="12"/>
    </row>
    <row r="42" spans="1:15" x14ac:dyDescent="0.25">
      <c r="A42" s="12"/>
    </row>
    <row r="43" spans="1:15" x14ac:dyDescent="0.25">
      <c r="A43" s="12"/>
    </row>
    <row r="44" spans="1:15" x14ac:dyDescent="0.25">
      <c r="A44" s="12"/>
    </row>
    <row r="45" spans="1:15" x14ac:dyDescent="0.25">
      <c r="A45" s="12"/>
    </row>
    <row r="46" spans="1:15" x14ac:dyDescent="0.25">
      <c r="A46" s="12"/>
    </row>
    <row r="47" spans="1:15" x14ac:dyDescent="0.25">
      <c r="A47" s="12"/>
    </row>
    <row r="48" spans="1:15"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2" x14ac:dyDescent="0.25">
      <c r="A81" s="12"/>
    </row>
    <row r="82" spans="1:2" x14ac:dyDescent="0.25">
      <c r="A82" s="12"/>
    </row>
    <row r="83" spans="1:2" x14ac:dyDescent="0.25">
      <c r="A83" s="12"/>
    </row>
    <row r="84" spans="1:2" x14ac:dyDescent="0.25">
      <c r="A84" s="12"/>
    </row>
    <row r="85" spans="1:2" x14ac:dyDescent="0.25">
      <c r="A85" s="12"/>
    </row>
    <row r="86" spans="1:2" x14ac:dyDescent="0.25">
      <c r="A86" s="12"/>
      <c r="B86"/>
    </row>
    <row r="87" spans="1:2" x14ac:dyDescent="0.25">
      <c r="A87" s="12"/>
      <c r="B87"/>
    </row>
    <row r="88" spans="1:2" x14ac:dyDescent="0.25">
      <c r="A88" s="12"/>
      <c r="B88"/>
    </row>
    <row r="89" spans="1:2" x14ac:dyDescent="0.25">
      <c r="A89" s="12"/>
      <c r="B89"/>
    </row>
    <row r="90" spans="1:2" x14ac:dyDescent="0.25">
      <c r="A90" s="12"/>
      <c r="B90"/>
    </row>
    <row r="91" spans="1:2" x14ac:dyDescent="0.25">
      <c r="A91" s="12"/>
      <c r="B91"/>
    </row>
    <row r="92" spans="1:2" x14ac:dyDescent="0.25">
      <c r="A92" s="12"/>
      <c r="B92"/>
    </row>
    <row r="93" spans="1:2" x14ac:dyDescent="0.25">
      <c r="A93" s="12"/>
      <c r="B93"/>
    </row>
    <row r="94" spans="1:2" x14ac:dyDescent="0.25">
      <c r="A94" s="12"/>
      <c r="B94"/>
    </row>
    <row r="95" spans="1:2" x14ac:dyDescent="0.25">
      <c r="A95" s="12"/>
      <c r="B95"/>
    </row>
    <row r="96" spans="1:2" x14ac:dyDescent="0.25">
      <c r="A96" s="12"/>
      <c r="B96"/>
    </row>
    <row r="97" spans="1:2" x14ac:dyDescent="0.25">
      <c r="A97" s="12"/>
      <c r="B97"/>
    </row>
    <row r="98" spans="1:2" x14ac:dyDescent="0.25">
      <c r="A98" s="12"/>
      <c r="B98"/>
    </row>
    <row r="99" spans="1:2" x14ac:dyDescent="0.25">
      <c r="A99" s="12"/>
      <c r="B99"/>
    </row>
    <row r="100" spans="1:2" x14ac:dyDescent="0.25">
      <c r="A100" s="12"/>
      <c r="B100"/>
    </row>
    <row r="101" spans="1:2" x14ac:dyDescent="0.25">
      <c r="A101" s="12"/>
      <c r="B101"/>
    </row>
    <row r="102" spans="1:2" x14ac:dyDescent="0.25">
      <c r="A102" s="12"/>
      <c r="B102"/>
    </row>
    <row r="103" spans="1:2" x14ac:dyDescent="0.25">
      <c r="A103" s="12"/>
      <c r="B103"/>
    </row>
    <row r="104" spans="1:2" x14ac:dyDescent="0.25">
      <c r="A104" s="12"/>
      <c r="B104"/>
    </row>
    <row r="105" spans="1:2" x14ac:dyDescent="0.25">
      <c r="A105" s="12"/>
      <c r="B105"/>
    </row>
    <row r="106" spans="1:2" x14ac:dyDescent="0.25">
      <c r="A106" s="12"/>
      <c r="B106"/>
    </row>
    <row r="107" spans="1:2" x14ac:dyDescent="0.25">
      <c r="A107" s="12"/>
      <c r="B107"/>
    </row>
    <row r="108" spans="1:2" x14ac:dyDescent="0.25">
      <c r="A108" s="12"/>
      <c r="B108"/>
    </row>
    <row r="109" spans="1:2" x14ac:dyDescent="0.25">
      <c r="A109" s="12"/>
      <c r="B109"/>
    </row>
    <row r="110" spans="1:2" x14ac:dyDescent="0.25">
      <c r="A110" s="12"/>
      <c r="B110"/>
    </row>
    <row r="111" spans="1:2" x14ac:dyDescent="0.25">
      <c r="A111" s="12"/>
      <c r="B111"/>
    </row>
    <row r="112" spans="1:2" x14ac:dyDescent="0.25">
      <c r="A112" s="12"/>
      <c r="B112"/>
    </row>
    <row r="113" spans="1:2" x14ac:dyDescent="0.25">
      <c r="A113" s="12"/>
      <c r="B113"/>
    </row>
    <row r="114" spans="1:2" x14ac:dyDescent="0.25">
      <c r="A114" s="12"/>
      <c r="B114"/>
    </row>
    <row r="115" spans="1:2" x14ac:dyDescent="0.25">
      <c r="A115" s="12"/>
      <c r="B115"/>
    </row>
    <row r="116" spans="1:2" x14ac:dyDescent="0.25">
      <c r="A116" s="12"/>
      <c r="B116"/>
    </row>
    <row r="117" spans="1:2" x14ac:dyDescent="0.25">
      <c r="A117" s="12"/>
      <c r="B117"/>
    </row>
    <row r="118" spans="1:2" x14ac:dyDescent="0.25">
      <c r="A118" s="12"/>
      <c r="B118"/>
    </row>
    <row r="119" spans="1:2" x14ac:dyDescent="0.25">
      <c r="A119" s="12"/>
      <c r="B119"/>
    </row>
    <row r="120" spans="1:2" x14ac:dyDescent="0.25">
      <c r="A120" s="12"/>
      <c r="B120"/>
    </row>
    <row r="121" spans="1:2" x14ac:dyDescent="0.25">
      <c r="A121" s="12"/>
      <c r="B121"/>
    </row>
    <row r="122" spans="1:2" x14ac:dyDescent="0.25">
      <c r="A122" s="12"/>
      <c r="B122"/>
    </row>
    <row r="123" spans="1:2" x14ac:dyDescent="0.25">
      <c r="A123" s="12"/>
      <c r="B123"/>
    </row>
    <row r="124" spans="1:2" x14ac:dyDescent="0.25">
      <c r="A124" s="12"/>
      <c r="B124"/>
    </row>
    <row r="125" spans="1:2" x14ac:dyDescent="0.25">
      <c r="A125" s="12"/>
      <c r="B125"/>
    </row>
    <row r="126" spans="1:2" x14ac:dyDescent="0.25">
      <c r="A126" s="12"/>
      <c r="B126"/>
    </row>
    <row r="127" spans="1:2" x14ac:dyDescent="0.25">
      <c r="A127" s="12"/>
      <c r="B127"/>
    </row>
    <row r="128" spans="1:2" x14ac:dyDescent="0.25">
      <c r="A128" s="12"/>
      <c r="B128"/>
    </row>
    <row r="129" spans="1:2" x14ac:dyDescent="0.25">
      <c r="A129" s="12"/>
      <c r="B129"/>
    </row>
    <row r="130" spans="1:2" x14ac:dyDescent="0.25">
      <c r="A130" s="12"/>
      <c r="B130"/>
    </row>
    <row r="131" spans="1:2" x14ac:dyDescent="0.25">
      <c r="A131" s="12"/>
      <c r="B131"/>
    </row>
    <row r="132" spans="1:2" x14ac:dyDescent="0.25">
      <c r="A132" s="12"/>
      <c r="B132"/>
    </row>
    <row r="133" spans="1:2" x14ac:dyDescent="0.25">
      <c r="A133" s="12"/>
      <c r="B133"/>
    </row>
    <row r="134" spans="1:2" x14ac:dyDescent="0.25">
      <c r="A134" s="12"/>
      <c r="B134"/>
    </row>
    <row r="135" spans="1:2" x14ac:dyDescent="0.25">
      <c r="A135" s="12"/>
      <c r="B135"/>
    </row>
    <row r="136" spans="1:2" x14ac:dyDescent="0.25">
      <c r="A136" s="12"/>
      <c r="B136"/>
    </row>
    <row r="137" spans="1:2" x14ac:dyDescent="0.25">
      <c r="A137" s="12"/>
      <c r="B137"/>
    </row>
    <row r="138" spans="1:2" x14ac:dyDescent="0.25">
      <c r="A138" s="12"/>
      <c r="B138"/>
    </row>
    <row r="139" spans="1:2" x14ac:dyDescent="0.25">
      <c r="A139" s="12"/>
      <c r="B139"/>
    </row>
    <row r="140" spans="1:2" x14ac:dyDescent="0.25">
      <c r="A140" s="12"/>
      <c r="B140"/>
    </row>
    <row r="141" spans="1:2" x14ac:dyDescent="0.25">
      <c r="A141" s="12"/>
      <c r="B141"/>
    </row>
    <row r="142" spans="1:2" x14ac:dyDescent="0.25">
      <c r="A142" s="12"/>
      <c r="B142"/>
    </row>
    <row r="143" spans="1:2" x14ac:dyDescent="0.25">
      <c r="A143" s="12"/>
      <c r="B143"/>
    </row>
    <row r="144" spans="1:2" x14ac:dyDescent="0.25">
      <c r="A144" s="12"/>
      <c r="B144"/>
    </row>
    <row r="145" spans="1:2" x14ac:dyDescent="0.25">
      <c r="A145" s="12"/>
      <c r="B145"/>
    </row>
    <row r="146" spans="1:2" x14ac:dyDescent="0.25">
      <c r="A146" s="12"/>
      <c r="B146"/>
    </row>
    <row r="147" spans="1:2" x14ac:dyDescent="0.25">
      <c r="A147" s="12"/>
      <c r="B147"/>
    </row>
    <row r="148" spans="1:2" x14ac:dyDescent="0.25">
      <c r="A148" s="12"/>
      <c r="B148"/>
    </row>
    <row r="149" spans="1:2" x14ac:dyDescent="0.25">
      <c r="A149" s="12"/>
      <c r="B149"/>
    </row>
    <row r="150" spans="1:2" x14ac:dyDescent="0.25">
      <c r="A150" s="12"/>
      <c r="B150"/>
    </row>
    <row r="151" spans="1:2" x14ac:dyDescent="0.25">
      <c r="A151" s="12"/>
      <c r="B151"/>
    </row>
    <row r="152" spans="1:2" x14ac:dyDescent="0.25">
      <c r="A152" s="12"/>
      <c r="B152"/>
    </row>
    <row r="153" spans="1:2" x14ac:dyDescent="0.25">
      <c r="A153" s="12"/>
      <c r="B153"/>
    </row>
    <row r="154" spans="1:2" x14ac:dyDescent="0.25">
      <c r="A154" s="12"/>
      <c r="B154"/>
    </row>
    <row r="155" spans="1:2" x14ac:dyDescent="0.25">
      <c r="A155" s="12"/>
      <c r="B155"/>
    </row>
    <row r="156" spans="1:2" x14ac:dyDescent="0.25">
      <c r="A156" s="12"/>
      <c r="B156"/>
    </row>
    <row r="157" spans="1:2" x14ac:dyDescent="0.25">
      <c r="A157" s="12"/>
      <c r="B157"/>
    </row>
    <row r="158" spans="1:2" x14ac:dyDescent="0.25">
      <c r="A158" s="12"/>
      <c r="B158"/>
    </row>
    <row r="159" spans="1:2" x14ac:dyDescent="0.25">
      <c r="A159" s="12"/>
      <c r="B159"/>
    </row>
    <row r="160" spans="1:2" x14ac:dyDescent="0.25">
      <c r="A160" s="12"/>
      <c r="B160"/>
    </row>
    <row r="161" spans="1:2" x14ac:dyDescent="0.25">
      <c r="A161" s="12"/>
      <c r="B161"/>
    </row>
    <row r="162" spans="1:2" x14ac:dyDescent="0.25">
      <c r="A162" s="12"/>
      <c r="B162"/>
    </row>
    <row r="163" spans="1:2" x14ac:dyDescent="0.25">
      <c r="A163" s="12"/>
      <c r="B163"/>
    </row>
    <row r="164" spans="1:2" x14ac:dyDescent="0.25">
      <c r="A164" s="12"/>
      <c r="B164"/>
    </row>
    <row r="165" spans="1:2" x14ac:dyDescent="0.25">
      <c r="A165" s="12"/>
      <c r="B165"/>
    </row>
    <row r="166" spans="1:2" x14ac:dyDescent="0.25">
      <c r="A166" s="12"/>
      <c r="B166"/>
    </row>
    <row r="167" spans="1:2" x14ac:dyDescent="0.25">
      <c r="A167" s="12"/>
      <c r="B167"/>
    </row>
    <row r="168" spans="1:2" x14ac:dyDescent="0.25">
      <c r="A168" s="12"/>
      <c r="B168"/>
    </row>
    <row r="169" spans="1:2" x14ac:dyDescent="0.25">
      <c r="A169" s="12"/>
      <c r="B169"/>
    </row>
    <row r="170" spans="1:2" x14ac:dyDescent="0.25">
      <c r="A170" s="12"/>
      <c r="B170"/>
    </row>
    <row r="171" spans="1:2" x14ac:dyDescent="0.25">
      <c r="A171" s="12"/>
      <c r="B171"/>
    </row>
    <row r="172" spans="1:2" x14ac:dyDescent="0.25">
      <c r="A172" s="12"/>
      <c r="B172"/>
    </row>
    <row r="173" spans="1:2" x14ac:dyDescent="0.25">
      <c r="A173" s="12"/>
      <c r="B173"/>
    </row>
    <row r="174" spans="1:2" x14ac:dyDescent="0.25">
      <c r="A174" s="12"/>
      <c r="B174"/>
    </row>
    <row r="175" spans="1:2" x14ac:dyDescent="0.25">
      <c r="A175" s="12"/>
      <c r="B175"/>
    </row>
    <row r="176" spans="1:2" x14ac:dyDescent="0.25">
      <c r="A176" s="12"/>
      <c r="B176"/>
    </row>
    <row r="177" spans="1:2" x14ac:dyDescent="0.25">
      <c r="A177" s="12"/>
      <c r="B177"/>
    </row>
    <row r="178" spans="1:2" x14ac:dyDescent="0.25">
      <c r="A178" s="12"/>
      <c r="B178"/>
    </row>
    <row r="179" spans="1:2" x14ac:dyDescent="0.25">
      <c r="A179" s="12"/>
      <c r="B179"/>
    </row>
    <row r="180" spans="1:2" x14ac:dyDescent="0.25">
      <c r="A180" s="12"/>
      <c r="B180"/>
    </row>
    <row r="181" spans="1:2" x14ac:dyDescent="0.25">
      <c r="A181" s="12"/>
      <c r="B181"/>
    </row>
    <row r="182" spans="1:2" x14ac:dyDescent="0.25">
      <c r="A182" s="12"/>
      <c r="B182"/>
    </row>
    <row r="183" spans="1:2" x14ac:dyDescent="0.25">
      <c r="A183" s="12"/>
      <c r="B183"/>
    </row>
    <row r="184" spans="1:2" x14ac:dyDescent="0.25">
      <c r="A184" s="12"/>
      <c r="B184"/>
    </row>
    <row r="185" spans="1:2" x14ac:dyDescent="0.25">
      <c r="A185" s="12"/>
      <c r="B185"/>
    </row>
    <row r="186" spans="1:2" x14ac:dyDescent="0.25">
      <c r="A186" s="12"/>
      <c r="B186"/>
    </row>
    <row r="187" spans="1:2" x14ac:dyDescent="0.25">
      <c r="A187" s="12"/>
      <c r="B187"/>
    </row>
    <row r="188" spans="1:2" x14ac:dyDescent="0.25">
      <c r="A188" s="12"/>
      <c r="B188"/>
    </row>
    <row r="189" spans="1:2" x14ac:dyDescent="0.25">
      <c r="A189" s="12"/>
      <c r="B189"/>
    </row>
    <row r="190" spans="1:2" x14ac:dyDescent="0.25">
      <c r="A190" s="12"/>
      <c r="B190"/>
    </row>
    <row r="191" spans="1:2" x14ac:dyDescent="0.25">
      <c r="A191" s="12"/>
      <c r="B191"/>
    </row>
    <row r="192" spans="1:2" x14ac:dyDescent="0.25">
      <c r="A192" s="12"/>
      <c r="B192"/>
    </row>
    <row r="193" spans="1:2" x14ac:dyDescent="0.25">
      <c r="A193" s="12"/>
      <c r="B193"/>
    </row>
    <row r="194" spans="1:2" x14ac:dyDescent="0.25">
      <c r="A194" s="12"/>
      <c r="B194"/>
    </row>
    <row r="195" spans="1:2" x14ac:dyDescent="0.25">
      <c r="A195" s="12"/>
      <c r="B195"/>
    </row>
    <row r="196" spans="1:2" x14ac:dyDescent="0.25">
      <c r="A196" s="12"/>
      <c r="B196"/>
    </row>
    <row r="197" spans="1:2" x14ac:dyDescent="0.25">
      <c r="A197" s="12"/>
      <c r="B197"/>
    </row>
    <row r="198" spans="1:2" x14ac:dyDescent="0.25">
      <c r="A198" s="12"/>
      <c r="B198"/>
    </row>
    <row r="199" spans="1:2" x14ac:dyDescent="0.25">
      <c r="A199" s="12"/>
      <c r="B199"/>
    </row>
    <row r="200" spans="1:2" x14ac:dyDescent="0.25">
      <c r="A200" s="12"/>
      <c r="B200"/>
    </row>
    <row r="201" spans="1:2" x14ac:dyDescent="0.25">
      <c r="A201" s="12"/>
      <c r="B201"/>
    </row>
    <row r="202" spans="1:2" x14ac:dyDescent="0.25">
      <c r="A202" s="12"/>
      <c r="B202"/>
    </row>
    <row r="203" spans="1:2" x14ac:dyDescent="0.25">
      <c r="A203" s="12"/>
      <c r="B203"/>
    </row>
    <row r="204" spans="1:2" x14ac:dyDescent="0.25">
      <c r="A204" s="12"/>
      <c r="B204"/>
    </row>
    <row r="205" spans="1:2" x14ac:dyDescent="0.25">
      <c r="A205" s="12"/>
      <c r="B205"/>
    </row>
    <row r="206" spans="1:2" x14ac:dyDescent="0.25">
      <c r="A206" s="12"/>
    </row>
    <row r="207" spans="1:2" x14ac:dyDescent="0.25">
      <c r="A207" s="12"/>
    </row>
    <row r="208" spans="1:2"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40"/>
    </row>
    <row r="288" spans="1:1" x14ac:dyDescent="0.25">
      <c r="A288" s="40"/>
    </row>
    <row r="289" spans="1:1" x14ac:dyDescent="0.25">
      <c r="A289" s="40"/>
    </row>
    <row r="294" spans="1:1" x14ac:dyDescent="0.25">
      <c r="A294" s="40"/>
    </row>
  </sheetData>
  <sheetProtection password="DEDD" sheet="1"/>
  <protectedRanges>
    <protectedRange password="DEDD" sqref="B2" name="Rango1"/>
  </protectedRanges>
  <mergeCells count="11">
    <mergeCell ref="C2:F2"/>
    <mergeCell ref="C3:F3"/>
    <mergeCell ref="C4:F4"/>
    <mergeCell ref="C5:F5"/>
    <mergeCell ref="C6:F6"/>
    <mergeCell ref="C8:F8"/>
    <mergeCell ref="C7:F7"/>
    <mergeCell ref="C9:F9"/>
    <mergeCell ref="C10:F10"/>
    <mergeCell ref="C11:F11"/>
    <mergeCell ref="C12:F12"/>
  </mergeCells>
  <dataValidations count="5">
    <dataValidation type="list" allowBlank="1" showInputMessage="1" showErrorMessage="1" sqref="E21">
      <formula1>$L$9:$L$10</formula1>
    </dataValidation>
    <dataValidation type="list" allowBlank="1" showInputMessage="1" showErrorMessage="1" sqref="C5:F5">
      <formula1>$L$2:$L$3</formula1>
    </dataValidation>
    <dataValidation type="list" allowBlank="1" showInputMessage="1" showErrorMessage="1" sqref="C9:F9">
      <formula1>$I$2:$I$6</formula1>
    </dataValidation>
    <dataValidation type="list" allowBlank="1" showInputMessage="1" showErrorMessage="1" sqref="C12:F12">
      <formula1>$R$5:$R$13</formula1>
    </dataValidation>
    <dataValidation type="list" allowBlank="1" showInputMessage="1" showErrorMessage="1" sqref="C11:F11">
      <formula1>$N$2:$N$34</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6606" r:id="rId4" name="CommandButton1">
          <controlPr defaultSize="0" autoLine="0" r:id="rId5">
            <anchor moveWithCells="1">
              <from>
                <xdr:col>0</xdr:col>
                <xdr:colOff>742950</xdr:colOff>
                <xdr:row>21</xdr:row>
                <xdr:rowOff>66675</xdr:rowOff>
              </from>
              <to>
                <xdr:col>1</xdr:col>
                <xdr:colOff>1219200</xdr:colOff>
                <xdr:row>23</xdr:row>
                <xdr:rowOff>123825</xdr:rowOff>
              </to>
            </anchor>
          </controlPr>
        </control>
      </mc:Choice>
      <mc:Fallback>
        <control shapeId="16606"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3"/>
  <sheetViews>
    <sheetView showGridLines="0" workbookViewId="0">
      <selection activeCell="C8" sqref="C8"/>
    </sheetView>
  </sheetViews>
  <sheetFormatPr baseColWidth="10" defaultColWidth="0" defaultRowHeight="0" customHeight="1" zeroHeight="1" x14ac:dyDescent="0.25"/>
  <cols>
    <col min="1" max="1" width="3.140625" style="68" customWidth="1"/>
    <col min="2" max="2" width="2.42578125" style="68" customWidth="1"/>
    <col min="3" max="3" width="33" style="68" customWidth="1"/>
    <col min="4" max="4" width="25" style="68" customWidth="1"/>
    <col min="5" max="5" width="20.7109375" style="68" customWidth="1"/>
    <col min="6" max="6" width="51.28515625" style="68" customWidth="1"/>
    <col min="7" max="7" width="8.28515625" style="68" customWidth="1"/>
    <col min="8" max="8" width="19" style="68" hidden="1" customWidth="1"/>
    <col min="9" max="13" width="11.42578125" style="68" hidden="1" customWidth="1"/>
    <col min="14" max="16384" width="11.42578125" style="68" hidden="1"/>
  </cols>
  <sheetData>
    <row r="1" spans="1:254" ht="15.75" thickBot="1" x14ac:dyDescent="0.3">
      <c r="A1" s="66"/>
      <c r="B1" s="66"/>
      <c r="C1" s="66"/>
      <c r="D1" s="66"/>
      <c r="E1" s="66"/>
      <c r="F1" s="66"/>
      <c r="G1" s="66"/>
    </row>
    <row r="2" spans="1:254" ht="15" x14ac:dyDescent="0.25">
      <c r="A2" s="66"/>
      <c r="B2" s="66"/>
      <c r="C2" s="66"/>
      <c r="D2" s="66"/>
      <c r="E2" s="69"/>
      <c r="F2" s="69"/>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row>
    <row r="3" spans="1:254" ht="20.25" x14ac:dyDescent="0.35">
      <c r="A3" s="66"/>
      <c r="B3" s="118"/>
      <c r="D3" s="236" t="s">
        <v>540</v>
      </c>
      <c r="E3" s="236"/>
      <c r="F3" s="118"/>
      <c r="G3" s="119"/>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c r="IR3" s="73"/>
      <c r="IS3" s="73"/>
      <c r="IT3" s="73"/>
    </row>
    <row r="4" spans="1:254" ht="15" x14ac:dyDescent="0.25">
      <c r="A4" s="66"/>
      <c r="B4" s="66"/>
      <c r="C4" s="66"/>
      <c r="D4" s="120" t="s">
        <v>523</v>
      </c>
      <c r="E4" s="75">
        <f ca="1">TODAY()</f>
        <v>43124</v>
      </c>
      <c r="F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c r="IT4" s="73"/>
    </row>
    <row r="5" spans="1:254" ht="15.75" thickBot="1" x14ac:dyDescent="0.3">
      <c r="A5" s="66"/>
      <c r="B5" s="66"/>
      <c r="C5" s="66"/>
      <c r="D5" s="66"/>
      <c r="E5" s="71"/>
      <c r="F5" s="72"/>
      <c r="H5" s="73"/>
      <c r="I5" s="73"/>
      <c r="J5" s="73"/>
      <c r="K5" s="73"/>
      <c r="L5" s="73"/>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row>
    <row r="6" spans="1:254" ht="15" x14ac:dyDescent="0.25">
      <c r="A6" s="66"/>
      <c r="B6" s="66"/>
      <c r="C6" s="66"/>
      <c r="D6" s="66"/>
      <c r="E6" s="66"/>
    </row>
    <row r="7" spans="1:254" ht="15" x14ac:dyDescent="0.25">
      <c r="A7" s="66"/>
      <c r="B7" s="66"/>
      <c r="C7" s="66"/>
      <c r="D7" s="66"/>
      <c r="E7" s="66"/>
    </row>
    <row r="8" spans="1:254" ht="18" x14ac:dyDescent="0.35">
      <c r="A8" s="66"/>
      <c r="B8" s="66"/>
      <c r="C8" s="77" t="s">
        <v>541</v>
      </c>
      <c r="D8" s="79">
        <v>17000000</v>
      </c>
      <c r="E8" s="80" t="s">
        <v>542</v>
      </c>
    </row>
    <row r="9" spans="1:254" ht="18" x14ac:dyDescent="0.35">
      <c r="A9" s="66"/>
      <c r="B9" s="66"/>
      <c r="C9" s="77" t="s">
        <v>543</v>
      </c>
      <c r="D9" s="79">
        <v>17000000</v>
      </c>
      <c r="E9" s="121" t="s">
        <v>544</v>
      </c>
      <c r="F9" s="122"/>
    </row>
    <row r="10" spans="1:254" ht="18" customHeight="1" x14ac:dyDescent="0.35">
      <c r="A10" s="66"/>
      <c r="B10" s="66"/>
      <c r="C10" s="77" t="s">
        <v>545</v>
      </c>
      <c r="D10" s="79">
        <v>15000000</v>
      </c>
      <c r="E10" s="237" t="s">
        <v>546</v>
      </c>
      <c r="F10" s="237"/>
      <c r="G10" s="123"/>
    </row>
    <row r="11" spans="1:254" ht="18" customHeight="1" x14ac:dyDescent="0.35">
      <c r="A11" s="66"/>
      <c r="B11" s="66"/>
      <c r="C11" s="84" t="s">
        <v>530</v>
      </c>
      <c r="D11" s="88">
        <v>72</v>
      </c>
      <c r="E11" s="124"/>
      <c r="F11" s="124"/>
      <c r="G11" s="123"/>
    </row>
    <row r="12" spans="1:254" ht="18" x14ac:dyDescent="0.35">
      <c r="A12" s="66"/>
      <c r="B12" s="66"/>
      <c r="C12" s="84" t="s">
        <v>531</v>
      </c>
      <c r="D12" s="89">
        <v>2.2700000000000001E-2</v>
      </c>
      <c r="E12" s="123"/>
      <c r="F12" s="123"/>
      <c r="G12" s="123"/>
    </row>
    <row r="13" spans="1:254" ht="18" x14ac:dyDescent="0.25">
      <c r="A13" s="66"/>
      <c r="B13" s="66"/>
      <c r="C13" s="90" t="s">
        <v>533</v>
      </c>
      <c r="D13" s="92">
        <f ca="1">ROUND(NewCotizacion!Y75,0)</f>
        <v>126140</v>
      </c>
    </row>
    <row r="14" spans="1:254" ht="21" customHeight="1" x14ac:dyDescent="0.35">
      <c r="A14" s="66"/>
      <c r="B14" s="66"/>
      <c r="C14" s="84" t="s">
        <v>534</v>
      </c>
      <c r="D14" s="93">
        <f>2219*D9/1000000</f>
        <v>37723</v>
      </c>
      <c r="E14" s="125"/>
      <c r="F14" s="125"/>
      <c r="G14" s="94"/>
    </row>
    <row r="15" spans="1:254" ht="27.75" customHeight="1" x14ac:dyDescent="0.35">
      <c r="A15" s="66"/>
      <c r="B15" s="66"/>
      <c r="C15" s="126"/>
      <c r="D15" s="127"/>
      <c r="E15" s="238" t="s">
        <v>547</v>
      </c>
      <c r="F15" s="238"/>
      <c r="G15" s="128"/>
    </row>
    <row r="16" spans="1:254" ht="30" customHeight="1" x14ac:dyDescent="0.35">
      <c r="A16" s="66"/>
      <c r="B16" s="66"/>
      <c r="C16" s="77" t="s">
        <v>548</v>
      </c>
      <c r="D16" s="82">
        <f>D18*10.6344950848972%</f>
        <v>1784999.9999999949</v>
      </c>
      <c r="E16" s="238" t="s">
        <v>549</v>
      </c>
      <c r="F16" s="238"/>
      <c r="G16" s="238"/>
    </row>
    <row r="17" spans="1:13" ht="27" customHeight="1" x14ac:dyDescent="0.35">
      <c r="A17" s="66"/>
      <c r="B17" s="66"/>
      <c r="C17" s="77" t="s">
        <v>550</v>
      </c>
      <c r="D17" s="82">
        <f>D18-D16</f>
        <v>15000000.000000006</v>
      </c>
      <c r="E17" s="238"/>
      <c r="F17" s="238"/>
      <c r="G17" s="238"/>
    </row>
    <row r="18" spans="1:13" ht="27" customHeight="1" x14ac:dyDescent="0.35">
      <c r="A18" s="66"/>
      <c r="B18" s="66"/>
      <c r="C18" s="129" t="s">
        <v>551</v>
      </c>
      <c r="D18" s="130">
        <f>IF(D8&gt;D10*1.119,D10*1.119,D8)</f>
        <v>16785000</v>
      </c>
      <c r="E18" s="133" t="s">
        <v>552</v>
      </c>
      <c r="F18" s="133"/>
      <c r="G18" s="94"/>
    </row>
    <row r="19" spans="1:13" ht="15.75" customHeight="1" x14ac:dyDescent="0.3">
      <c r="A19" s="66"/>
      <c r="B19" s="66"/>
      <c r="C19" s="66"/>
      <c r="D19" s="96"/>
      <c r="E19" s="96"/>
      <c r="G19" s="96"/>
    </row>
    <row r="20" spans="1:13" ht="14.25" customHeight="1" x14ac:dyDescent="0.25">
      <c r="A20" s="66"/>
      <c r="B20" s="66"/>
      <c r="C20" s="97"/>
      <c r="D20" s="66"/>
      <c r="E20" s="134"/>
      <c r="F20" s="134"/>
      <c r="G20" s="66"/>
    </row>
    <row r="21" spans="1:13" ht="16.5" x14ac:dyDescent="0.3">
      <c r="A21" s="66"/>
      <c r="B21" s="98"/>
      <c r="C21" s="99" t="s">
        <v>536</v>
      </c>
      <c r="D21" s="100">
        <f ca="1">PMT(D12,D11,-D18)+2219*D18/1000000+D13</f>
        <v>638867.97397442698</v>
      </c>
      <c r="E21" s="134"/>
      <c r="F21" s="134"/>
      <c r="G21" s="101"/>
    </row>
    <row r="22" spans="1:13" ht="11.25" customHeight="1" x14ac:dyDescent="0.35">
      <c r="A22" s="66"/>
      <c r="B22" s="66"/>
      <c r="C22" s="102"/>
      <c r="D22" s="104" t="s">
        <v>537</v>
      </c>
      <c r="E22" s="104"/>
      <c r="F22" s="104"/>
      <c r="G22" s="104"/>
      <c r="H22" s="104"/>
      <c r="K22" s="105"/>
    </row>
    <row r="23" spans="1:13" ht="13.5" customHeight="1" x14ac:dyDescent="0.35">
      <c r="A23" s="66"/>
      <c r="B23" s="66"/>
      <c r="C23" s="66"/>
      <c r="D23" s="106" t="s">
        <v>538</v>
      </c>
      <c r="E23" s="104"/>
      <c r="F23" s="104"/>
      <c r="G23" s="104"/>
      <c r="H23" s="104"/>
      <c r="K23" s="105"/>
    </row>
    <row r="24" spans="1:13" ht="16.5" customHeight="1" x14ac:dyDescent="0.35">
      <c r="A24" s="66"/>
      <c r="D24" s="66"/>
      <c r="E24" s="66"/>
      <c r="F24" s="66"/>
      <c r="G24" s="66"/>
      <c r="H24" s="104" t="s">
        <v>537</v>
      </c>
      <c r="I24" s="110"/>
      <c r="J24" s="111" t="s">
        <v>537</v>
      </c>
      <c r="K24" s="105"/>
    </row>
    <row r="25" spans="1:13" ht="18" x14ac:dyDescent="0.35">
      <c r="A25" s="66"/>
      <c r="D25" s="112"/>
      <c r="E25" s="112"/>
      <c r="F25" s="112"/>
      <c r="G25" s="112"/>
      <c r="H25" s="113"/>
      <c r="I25" s="113"/>
      <c r="J25" s="113"/>
      <c r="K25" s="114"/>
      <c r="L25" s="113"/>
      <c r="M25" s="115"/>
    </row>
    <row r="26" spans="1:13" ht="18" x14ac:dyDescent="0.35">
      <c r="A26" s="66"/>
      <c r="B26" s="66"/>
      <c r="C26" s="66"/>
      <c r="D26" s="66"/>
      <c r="E26" s="66"/>
      <c r="F26" s="66"/>
      <c r="G26" s="66"/>
      <c r="M26" s="115"/>
    </row>
    <row r="27" spans="1:13" ht="18" x14ac:dyDescent="0.35">
      <c r="A27" s="66"/>
      <c r="B27" s="66"/>
      <c r="C27" s="66"/>
      <c r="D27" s="66"/>
      <c r="E27" s="66"/>
      <c r="F27" s="66"/>
      <c r="G27" s="66"/>
      <c r="M27" s="115"/>
    </row>
    <row r="28" spans="1:13" ht="16.5" x14ac:dyDescent="0.35">
      <c r="A28" s="66"/>
      <c r="B28" s="66"/>
      <c r="C28" s="66"/>
      <c r="D28" s="66"/>
      <c r="E28" s="66"/>
      <c r="F28" s="66"/>
      <c r="G28" s="66"/>
      <c r="M28" s="116"/>
    </row>
    <row r="29" spans="1:13" ht="18" x14ac:dyDescent="0.35">
      <c r="A29" s="66"/>
      <c r="B29" s="66"/>
      <c r="C29" s="66"/>
      <c r="D29" s="66"/>
      <c r="E29" s="66"/>
      <c r="F29" s="66"/>
      <c r="G29" s="66"/>
      <c r="M29" s="115"/>
    </row>
    <row r="30" spans="1:13" ht="18" x14ac:dyDescent="0.35">
      <c r="A30" s="66"/>
      <c r="B30" s="66"/>
      <c r="C30" s="66"/>
      <c r="D30" s="66"/>
      <c r="E30" s="66"/>
      <c r="F30" s="66"/>
      <c r="G30" s="66"/>
      <c r="M30" s="117"/>
    </row>
    <row r="31" spans="1:13" ht="18" x14ac:dyDescent="0.35">
      <c r="A31" s="66"/>
      <c r="B31" s="66"/>
      <c r="C31" s="66"/>
      <c r="D31" s="66"/>
      <c r="E31" s="66"/>
      <c r="F31" s="66"/>
      <c r="G31" s="66"/>
      <c r="M31" s="117"/>
    </row>
    <row r="32" spans="1:13" ht="15" x14ac:dyDescent="0.25">
      <c r="A32" s="66"/>
      <c r="B32" s="66"/>
      <c r="C32" s="66"/>
      <c r="D32" s="66"/>
      <c r="E32" s="66"/>
      <c r="F32" s="66"/>
      <c r="G32" s="66"/>
    </row>
    <row r="33" spans="1:7" ht="15" x14ac:dyDescent="0.25">
      <c r="A33" s="66"/>
      <c r="B33" s="66"/>
      <c r="C33" s="66"/>
      <c r="D33" s="66"/>
      <c r="E33" s="66"/>
      <c r="F33" s="66"/>
      <c r="G33" s="66"/>
    </row>
    <row r="34" spans="1:7" ht="15" hidden="1" x14ac:dyDescent="0.25">
      <c r="A34" s="66"/>
      <c r="B34" s="66"/>
      <c r="C34" s="66"/>
      <c r="D34" s="66"/>
      <c r="E34" s="66"/>
      <c r="F34" s="66"/>
      <c r="G34" s="66"/>
    </row>
    <row r="35" spans="1:7" ht="15" hidden="1" x14ac:dyDescent="0.25">
      <c r="A35" s="66"/>
      <c r="B35" s="66"/>
      <c r="C35" s="66"/>
      <c r="D35" s="66"/>
      <c r="E35" s="66"/>
      <c r="F35" s="66"/>
      <c r="G35" s="66"/>
    </row>
    <row r="36" spans="1:7" ht="15" hidden="1" x14ac:dyDescent="0.25">
      <c r="A36" s="66"/>
      <c r="B36" s="66"/>
      <c r="C36" s="66"/>
      <c r="D36" s="66"/>
      <c r="E36" s="66"/>
      <c r="F36" s="66"/>
      <c r="G36" s="66"/>
    </row>
    <row r="37" spans="1:7" ht="15" customHeight="1" x14ac:dyDescent="0.25"/>
    <row r="38" spans="1:7" ht="15" customHeight="1" x14ac:dyDescent="0.25"/>
    <row r="39" spans="1:7" ht="15" customHeight="1" x14ac:dyDescent="0.25"/>
    <row r="40" spans="1:7" ht="15" customHeight="1" x14ac:dyDescent="0.25"/>
    <row r="41" spans="1:7" ht="15" hidden="1" customHeight="1" x14ac:dyDescent="0.25"/>
    <row r="42" spans="1:7" ht="0" hidden="1" customHeight="1" x14ac:dyDescent="0.25"/>
    <row r="43" spans="1:7" ht="0" hidden="1" customHeight="1" x14ac:dyDescent="0.25"/>
  </sheetData>
  <sheetProtection password="9C19" sheet="1"/>
  <dataConsolidate/>
  <mergeCells count="6">
    <mergeCell ref="D3:E3"/>
    <mergeCell ref="E10:F10"/>
    <mergeCell ref="E15:F15"/>
    <mergeCell ref="E16:G17"/>
    <mergeCell ref="E18:F18"/>
    <mergeCell ref="E20:F21"/>
  </mergeCells>
  <dataValidations count="8">
    <dataValidation allowBlank="1" showInputMessage="1" showErrorMessage="1" error="Número entero mayor a $500.000 y menor a $15'000.000_x000a_" sqref="D18"/>
    <dataValidation type="whole" allowBlank="1" showInputMessage="1" showErrorMessage="1" error="Debe ser entre 12 y 36 meses" sqref="G14 G18">
      <formula1>12</formula1>
      <formula2>36</formula2>
    </dataValidation>
    <dataValidation type="whole" allowBlank="1" showInputMessage="1" showErrorMessage="1" error="Número entero mayor a $500.000 y menor a $15'000.000_x000a_" sqref="D9">
      <formula1>500000</formula1>
      <formula2>17000000</formula2>
    </dataValidation>
    <dataValidation type="list" allowBlank="1" showInputMessage="1" showErrorMessage="1" error="Número entero entre 12 y 48 meses" sqref="D11">
      <formula1>"12,18,24,30,36,48,60,72"</formula1>
    </dataValidation>
    <dataValidation type="whole" allowBlank="1" showInputMessage="1" showErrorMessage="1" error="Sólo número entero" sqref="D13">
      <formula1>0</formula1>
      <formula2>10000000000000000000</formula2>
    </dataValidation>
    <dataValidation allowBlank="1" showInputMessage="1" showErrorMessage="1" error="Debe ser entre 12 y 36 meses" sqref="E20 E10 E14 E18 E16"/>
    <dataValidation type="whole" allowBlank="1" showInputMessage="1" showErrorMessage="1" sqref="D10">
      <formula1>500000</formula1>
      <formula2>15000000</formula2>
    </dataValidation>
    <dataValidation type="whole" allowBlank="1" showInputMessage="1" showErrorMessage="1" sqref="D8">
      <formula1>500000</formula1>
      <formula2>17000000</formula2>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M48"/>
  <sheetViews>
    <sheetView workbookViewId="0">
      <pane xSplit="3" topLeftCell="D1" activePane="topRight" state="frozen"/>
      <selection pane="topRight" activeCell="A5" sqref="A5"/>
    </sheetView>
  </sheetViews>
  <sheetFormatPr baseColWidth="10" defaultRowHeight="12.75" x14ac:dyDescent="0.2"/>
  <cols>
    <col min="1" max="1" width="15.5703125" bestFit="1" customWidth="1"/>
    <col min="2" max="2" width="12.42578125" bestFit="1" customWidth="1"/>
    <col min="3" max="3" width="40" bestFit="1" customWidth="1"/>
    <col min="4" max="4" width="17.140625" bestFit="1" customWidth="1"/>
    <col min="5" max="5" width="26.5703125" customWidth="1"/>
    <col min="6" max="9" width="24" customWidth="1"/>
    <col min="10" max="10" width="24.140625" customWidth="1"/>
    <col min="11" max="13" width="17.7109375" bestFit="1" customWidth="1"/>
  </cols>
  <sheetData>
    <row r="2" spans="1:13" x14ac:dyDescent="0.2">
      <c r="E2">
        <v>1</v>
      </c>
      <c r="F2">
        <v>2</v>
      </c>
      <c r="G2">
        <v>3</v>
      </c>
      <c r="H2">
        <v>4</v>
      </c>
      <c r="I2">
        <v>5</v>
      </c>
      <c r="J2">
        <v>6</v>
      </c>
      <c r="K2">
        <v>7</v>
      </c>
      <c r="L2">
        <v>8</v>
      </c>
      <c r="M2">
        <v>9</v>
      </c>
    </row>
    <row r="3" spans="1:13" ht="37.5" x14ac:dyDescent="0.2">
      <c r="A3" t="s">
        <v>477</v>
      </c>
      <c r="B3" t="s">
        <v>475</v>
      </c>
      <c r="C3" s="56" t="s">
        <v>115</v>
      </c>
      <c r="D3" s="20" t="s">
        <v>152</v>
      </c>
      <c r="E3" s="21" t="s">
        <v>134</v>
      </c>
      <c r="F3" s="21" t="s">
        <v>135</v>
      </c>
      <c r="G3" s="21" t="s">
        <v>136</v>
      </c>
      <c r="H3" s="21" t="s">
        <v>155</v>
      </c>
      <c r="I3" s="21" t="s">
        <v>137</v>
      </c>
      <c r="J3" s="21" t="s">
        <v>138</v>
      </c>
      <c r="K3" s="21" t="s">
        <v>143</v>
      </c>
      <c r="L3" s="21" t="s">
        <v>144</v>
      </c>
      <c r="M3" s="21" t="s">
        <v>142</v>
      </c>
    </row>
    <row r="4" spans="1:13" ht="15" x14ac:dyDescent="0.2">
      <c r="A4" s="57">
        <v>11</v>
      </c>
      <c r="B4" s="53" t="str">
        <f>CONCATENATE(A4&amp;D4)</f>
        <v>110</v>
      </c>
      <c r="C4" s="239" t="s">
        <v>471</v>
      </c>
      <c r="D4" s="22">
        <v>0</v>
      </c>
      <c r="E4" s="23">
        <v>6.1499999999999999E-2</v>
      </c>
      <c r="F4" s="23">
        <v>6.5799999999999997E-2</v>
      </c>
      <c r="G4" s="23">
        <v>7.0400000000000004E-2</v>
      </c>
      <c r="H4" s="23">
        <v>9.01E-2</v>
      </c>
      <c r="I4" s="23">
        <v>9.2299999999999993E-2</v>
      </c>
      <c r="J4" s="42">
        <v>9.4399999999999998E-2</v>
      </c>
      <c r="K4" s="23">
        <v>5.11E-2</v>
      </c>
      <c r="L4" s="23">
        <v>5.4600000000000003E-2</v>
      </c>
      <c r="M4" s="23">
        <v>5.8400000000000001E-2</v>
      </c>
    </row>
    <row r="5" spans="1:13" ht="15" x14ac:dyDescent="0.2">
      <c r="A5" s="58">
        <v>11</v>
      </c>
      <c r="B5" s="54" t="str">
        <f t="shared" ref="B5:B13" si="0">CONCATENATE(A5&amp;D5)</f>
        <v>111</v>
      </c>
      <c r="C5" s="240"/>
      <c r="D5" s="22">
        <v>1</v>
      </c>
      <c r="E5" s="23">
        <v>6.8900000000000003E-2</v>
      </c>
      <c r="F5" s="23">
        <v>7.3700000000000002E-2</v>
      </c>
      <c r="G5" s="23">
        <v>7.8799999999999995E-2</v>
      </c>
      <c r="H5" s="23">
        <v>0.1009</v>
      </c>
      <c r="I5" s="23">
        <v>0.1033</v>
      </c>
      <c r="J5" s="42">
        <v>0.1057</v>
      </c>
      <c r="K5" s="23">
        <v>5.7200000000000001E-2</v>
      </c>
      <c r="L5" s="23">
        <v>6.1199999999999997E-2</v>
      </c>
      <c r="M5" s="23">
        <v>6.54E-2</v>
      </c>
    </row>
    <row r="6" spans="1:13" ht="15" x14ac:dyDescent="0.2">
      <c r="A6" s="58">
        <v>11</v>
      </c>
      <c r="B6" s="54" t="str">
        <f t="shared" si="0"/>
        <v>112</v>
      </c>
      <c r="C6" s="240"/>
      <c r="D6" s="22">
        <v>2</v>
      </c>
      <c r="E6" s="23">
        <v>7.4399999999999994E-2</v>
      </c>
      <c r="F6" s="23">
        <v>7.9600000000000004E-2</v>
      </c>
      <c r="G6" s="23">
        <v>8.5099999999999995E-2</v>
      </c>
      <c r="H6" s="23">
        <v>0.109</v>
      </c>
      <c r="I6" s="23">
        <v>0.1116</v>
      </c>
      <c r="J6" s="42">
        <v>0.1142</v>
      </c>
      <c r="K6" s="23">
        <v>6.1800000000000001E-2</v>
      </c>
      <c r="L6" s="23">
        <v>6.6100000000000006E-2</v>
      </c>
      <c r="M6" s="23">
        <v>7.0699999999999999E-2</v>
      </c>
    </row>
    <row r="7" spans="1:13" ht="15" x14ac:dyDescent="0.2">
      <c r="A7" s="58">
        <v>11</v>
      </c>
      <c r="B7" s="54" t="str">
        <f t="shared" si="0"/>
        <v>113</v>
      </c>
      <c r="C7" s="240"/>
      <c r="D7" s="22">
        <v>3</v>
      </c>
      <c r="E7" s="23">
        <v>8.0299999999999996E-2</v>
      </c>
      <c r="F7" s="23">
        <v>8.5999999999999993E-2</v>
      </c>
      <c r="G7" s="23">
        <v>9.1999999999999998E-2</v>
      </c>
      <c r="H7" s="23">
        <v>0.1177</v>
      </c>
      <c r="I7" s="23">
        <v>0.1205</v>
      </c>
      <c r="J7" s="42">
        <v>0.12330000000000001</v>
      </c>
      <c r="K7" s="23">
        <v>6.6699999999999995E-2</v>
      </c>
      <c r="L7" s="23">
        <v>7.1300000000000002E-2</v>
      </c>
      <c r="M7" s="23">
        <v>7.6300000000000007E-2</v>
      </c>
    </row>
    <row r="8" spans="1:13" ht="15" x14ac:dyDescent="0.2">
      <c r="A8" s="59">
        <v>11</v>
      </c>
      <c r="B8" s="55" t="str">
        <f t="shared" si="0"/>
        <v>11%</v>
      </c>
      <c r="C8" s="241"/>
      <c r="D8" s="22" t="s">
        <v>153</v>
      </c>
      <c r="E8" s="23">
        <v>8.6800000000000002E-2</v>
      </c>
      <c r="F8" s="23">
        <v>9.2799999999999994E-2</v>
      </c>
      <c r="G8" s="23">
        <v>9.9299999999999999E-2</v>
      </c>
      <c r="H8" s="23">
        <v>0.12720000000000001</v>
      </c>
      <c r="I8" s="23">
        <v>0.13020000000000001</v>
      </c>
      <c r="J8" s="42">
        <v>0.13320000000000001</v>
      </c>
      <c r="K8" s="23">
        <v>7.1999999999999995E-2</v>
      </c>
      <c r="L8" s="23">
        <v>7.7100000000000002E-2</v>
      </c>
      <c r="M8" s="23">
        <v>8.2400000000000001E-2</v>
      </c>
    </row>
    <row r="9" spans="1:13" ht="15" x14ac:dyDescent="0.2">
      <c r="A9" s="60">
        <v>12</v>
      </c>
      <c r="B9" t="str">
        <f t="shared" si="0"/>
        <v>120</v>
      </c>
      <c r="C9" s="240" t="s">
        <v>472</v>
      </c>
      <c r="D9" s="22">
        <v>0</v>
      </c>
      <c r="E9" s="23">
        <v>9.8000000000000004E-2</v>
      </c>
      <c r="F9" s="23">
        <v>0.1052</v>
      </c>
      <c r="G9" s="23">
        <v>0.1157</v>
      </c>
      <c r="H9" s="23">
        <v>0.15740617142857144</v>
      </c>
      <c r="I9" s="23">
        <v>0.16089999999999999</v>
      </c>
      <c r="J9" s="23">
        <v>0.17269999999999999</v>
      </c>
      <c r="K9" s="23">
        <v>8.1299999999999997E-2</v>
      </c>
      <c r="L9" s="23">
        <v>8.7300000000000003E-2</v>
      </c>
      <c r="M9" s="23">
        <v>9.6100000000000005E-2</v>
      </c>
    </row>
    <row r="10" spans="1:13" ht="15" x14ac:dyDescent="0.2">
      <c r="A10" s="60">
        <v>12</v>
      </c>
      <c r="B10" t="str">
        <f t="shared" si="0"/>
        <v>121</v>
      </c>
      <c r="C10" s="240"/>
      <c r="D10" s="22">
        <v>1</v>
      </c>
      <c r="E10" s="23">
        <v>0.1097918699186992</v>
      </c>
      <c r="F10" s="23">
        <v>0.11785821138211383</v>
      </c>
      <c r="G10" s="23">
        <v>0.12962162601626015</v>
      </c>
      <c r="H10" s="23">
        <v>0.17634610099883857</v>
      </c>
      <c r="I10" s="23">
        <v>0.18026032520325203</v>
      </c>
      <c r="J10" s="23">
        <v>0.19348016260162601</v>
      </c>
      <c r="K10" s="23">
        <v>9.1082439024390241E-2</v>
      </c>
      <c r="L10" s="23">
        <v>9.7804390243902445E-2</v>
      </c>
      <c r="M10" s="23">
        <v>0.10766325203252033</v>
      </c>
    </row>
    <row r="11" spans="1:13" ht="15" x14ac:dyDescent="0.2">
      <c r="A11" s="60">
        <v>12</v>
      </c>
      <c r="B11" t="str">
        <f t="shared" si="0"/>
        <v>122</v>
      </c>
      <c r="C11" s="240"/>
      <c r="D11" s="22">
        <v>2</v>
      </c>
      <c r="E11" s="23">
        <v>0.11855609756097561</v>
      </c>
      <c r="F11" s="23">
        <v>0.12726634146341462</v>
      </c>
      <c r="G11" s="23">
        <v>0.13996878048780484</v>
      </c>
      <c r="H11" s="23">
        <v>0.1904230756794425</v>
      </c>
      <c r="I11" s="23">
        <v>0.19464975609756094</v>
      </c>
      <c r="J11" s="23">
        <v>0.20892487804878046</v>
      </c>
      <c r="K11" s="23">
        <v>9.835317073170731E-2</v>
      </c>
      <c r="L11" s="23">
        <v>0.10561170731707316</v>
      </c>
      <c r="M11" s="23">
        <v>0.11625756097560976</v>
      </c>
    </row>
    <row r="12" spans="1:13" ht="15" x14ac:dyDescent="0.2">
      <c r="A12" s="60">
        <v>12</v>
      </c>
      <c r="B12" t="str">
        <f t="shared" si="0"/>
        <v>123</v>
      </c>
      <c r="C12" s="240"/>
      <c r="D12" s="22">
        <v>3</v>
      </c>
      <c r="E12" s="23">
        <v>0.12795772357723578</v>
      </c>
      <c r="F12" s="23">
        <v>0.13735869918699187</v>
      </c>
      <c r="G12" s="23">
        <v>0.15106845528455282</v>
      </c>
      <c r="H12" s="23">
        <v>0.20552383033681765</v>
      </c>
      <c r="I12" s="23">
        <v>0.21008569105691055</v>
      </c>
      <c r="J12" s="23">
        <v>0.22549284552845528</v>
      </c>
      <c r="K12" s="23">
        <v>0.10615268292682926</v>
      </c>
      <c r="L12" s="23">
        <v>0.11398682926829268</v>
      </c>
      <c r="M12" s="23">
        <v>0.1254769105691057</v>
      </c>
    </row>
    <row r="13" spans="1:13" ht="15" x14ac:dyDescent="0.2">
      <c r="A13" s="60">
        <v>12</v>
      </c>
      <c r="B13" t="str">
        <f t="shared" si="0"/>
        <v>12%</v>
      </c>
      <c r="C13" s="240"/>
      <c r="D13" s="22" t="s">
        <v>153</v>
      </c>
      <c r="E13" s="23">
        <v>0.13831544715447155</v>
      </c>
      <c r="F13" s="23">
        <v>0.14847739837398374</v>
      </c>
      <c r="G13" s="23">
        <v>0.16329691056910567</v>
      </c>
      <c r="H13" s="23">
        <v>0.2221602549593496</v>
      </c>
      <c r="I13" s="23">
        <v>0.22709138211382113</v>
      </c>
      <c r="J13" s="23">
        <v>0.24374569105691057</v>
      </c>
      <c r="K13" s="23">
        <v>0.11474536585365855</v>
      </c>
      <c r="L13" s="23">
        <v>0.12321365853658538</v>
      </c>
      <c r="M13" s="23">
        <v>0.1356338211382114</v>
      </c>
    </row>
    <row r="14" spans="1:13" ht="15" x14ac:dyDescent="0.2">
      <c r="B14" s="41"/>
      <c r="C14" s="45"/>
      <c r="D14" s="45"/>
      <c r="E14" s="51"/>
      <c r="F14" s="51"/>
      <c r="G14" s="51"/>
      <c r="H14" s="51"/>
      <c r="I14" s="51"/>
      <c r="J14" s="51"/>
      <c r="K14" s="51"/>
      <c r="L14" s="51"/>
      <c r="M14" s="51"/>
    </row>
    <row r="15" spans="1:13" ht="37.5" hidden="1" x14ac:dyDescent="0.2">
      <c r="B15" s="41"/>
      <c r="C15" s="20" t="s">
        <v>473</v>
      </c>
      <c r="D15" s="20" t="s">
        <v>2</v>
      </c>
      <c r="E15" s="21" t="s">
        <v>134</v>
      </c>
      <c r="F15" s="21" t="s">
        <v>135</v>
      </c>
      <c r="G15" s="21" t="s">
        <v>136</v>
      </c>
      <c r="H15" s="21" t="s">
        <v>155</v>
      </c>
      <c r="I15" s="21" t="s">
        <v>137</v>
      </c>
      <c r="J15" s="21" t="s">
        <v>138</v>
      </c>
      <c r="K15" s="21" t="s">
        <v>143</v>
      </c>
      <c r="L15" s="21" t="s">
        <v>144</v>
      </c>
      <c r="M15" s="21" t="s">
        <v>142</v>
      </c>
    </row>
    <row r="16" spans="1:13" ht="15" hidden="1" x14ac:dyDescent="0.2">
      <c r="A16" s="61">
        <v>3</v>
      </c>
      <c r="B16" s="41"/>
      <c r="C16" s="22" t="s">
        <v>459</v>
      </c>
      <c r="D16" s="22">
        <v>1</v>
      </c>
      <c r="E16" s="23">
        <v>8.5792499999999994E-2</v>
      </c>
      <c r="F16" s="23">
        <v>9.1839999999999991E-2</v>
      </c>
      <c r="G16" s="23">
        <v>9.8297499999999996E-2</v>
      </c>
      <c r="H16" s="23">
        <v>0.10324691749999999</v>
      </c>
      <c r="I16" s="23">
        <v>0.10567749999999999</v>
      </c>
      <c r="J16" s="23">
        <v>0.115825</v>
      </c>
      <c r="K16" s="23">
        <v>6.662499999999999E-2</v>
      </c>
      <c r="L16" s="23">
        <v>7.4004999999999987E-2</v>
      </c>
      <c r="M16" s="23">
        <v>8.1384999999999985E-2</v>
      </c>
    </row>
    <row r="17" spans="1:13" ht="15" hidden="1" x14ac:dyDescent="0.2">
      <c r="A17" s="61">
        <v>3</v>
      </c>
      <c r="B17" s="41"/>
      <c r="C17" s="22" t="s">
        <v>460</v>
      </c>
      <c r="D17" s="22">
        <v>2</v>
      </c>
      <c r="E17" s="23">
        <v>7.4722499999999997E-2</v>
      </c>
      <c r="F17" s="23">
        <v>7.9949999999999993E-2</v>
      </c>
      <c r="G17" s="23">
        <v>8.5587499999999997E-2</v>
      </c>
      <c r="H17" s="23">
        <v>9.7739080000000006E-2</v>
      </c>
      <c r="I17" s="23">
        <v>0.10004</v>
      </c>
      <c r="J17" s="23">
        <v>0.10967499999999999</v>
      </c>
      <c r="K17" s="23">
        <v>5.5247499999999998E-2</v>
      </c>
      <c r="L17" s="23">
        <v>6.1397499999999994E-2</v>
      </c>
      <c r="M17" s="23">
        <v>6.7547499999999996E-2</v>
      </c>
    </row>
    <row r="18" spans="1:13" ht="15" hidden="1" x14ac:dyDescent="0.2">
      <c r="A18" s="61">
        <v>3</v>
      </c>
      <c r="B18" s="41"/>
      <c r="C18" s="22" t="s">
        <v>461</v>
      </c>
      <c r="D18" s="22">
        <v>3</v>
      </c>
      <c r="E18" s="23">
        <v>7.6157500000000003E-2</v>
      </c>
      <c r="F18" s="23">
        <v>8.148749999999999E-2</v>
      </c>
      <c r="G18" s="23">
        <v>8.7227499999999986E-2</v>
      </c>
      <c r="H18" s="23">
        <v>9.1530244999999982E-2</v>
      </c>
      <c r="I18" s="23">
        <v>9.3684999999999991E-2</v>
      </c>
      <c r="J18" s="23">
        <v>0.10270499999999999</v>
      </c>
      <c r="K18" s="23">
        <v>6.5394999999999995E-2</v>
      </c>
      <c r="L18" s="23">
        <v>7.2672500000000001E-2</v>
      </c>
      <c r="M18" s="23">
        <v>7.9949999999999993E-2</v>
      </c>
    </row>
    <row r="19" spans="1:13" ht="15" hidden="1" x14ac:dyDescent="0.2">
      <c r="A19" s="61">
        <v>3</v>
      </c>
      <c r="B19" s="41"/>
      <c r="C19" s="22" t="s">
        <v>462</v>
      </c>
      <c r="D19" s="22">
        <v>4</v>
      </c>
      <c r="E19" s="23">
        <v>8.199999999999999E-2</v>
      </c>
      <c r="F19" s="23">
        <v>8.7739999999999985E-2</v>
      </c>
      <c r="G19" s="23">
        <v>9.3889999999999987E-2</v>
      </c>
      <c r="H19" s="23">
        <v>9.8640362499999995E-2</v>
      </c>
      <c r="I19" s="23">
        <v>0.1009625</v>
      </c>
      <c r="J19" s="23">
        <v>0.11069999999999999</v>
      </c>
      <c r="K19" s="23">
        <v>6.8469999999999989E-2</v>
      </c>
      <c r="L19" s="23">
        <v>7.6054999999999998E-2</v>
      </c>
      <c r="M19" s="23">
        <v>8.3639999999999992E-2</v>
      </c>
    </row>
    <row r="20" spans="1:13" ht="15" hidden="1" x14ac:dyDescent="0.2">
      <c r="A20" s="61">
        <v>3</v>
      </c>
      <c r="B20" s="41"/>
      <c r="C20" s="22" t="s">
        <v>463</v>
      </c>
      <c r="D20" s="22">
        <v>5</v>
      </c>
      <c r="E20" s="23">
        <v>8.5484999999999992E-2</v>
      </c>
      <c r="F20" s="23">
        <v>9.1429999999999997E-2</v>
      </c>
      <c r="G20" s="23">
        <v>9.7784999999999997E-2</v>
      </c>
      <c r="H20" s="23">
        <v>0.11526401749999998</v>
      </c>
      <c r="I20" s="23">
        <v>0.11797749999999999</v>
      </c>
      <c r="J20" s="23">
        <v>0.13017499999999999</v>
      </c>
      <c r="K20" s="23">
        <v>5.9347499999999997E-2</v>
      </c>
      <c r="L20" s="23">
        <v>6.5907499999999994E-2</v>
      </c>
      <c r="M20" s="23">
        <v>7.246749999999999E-2</v>
      </c>
    </row>
    <row r="21" spans="1:13" ht="15" hidden="1" x14ac:dyDescent="0.2">
      <c r="A21" s="61">
        <v>3</v>
      </c>
      <c r="B21" s="41"/>
      <c r="C21" s="22" t="s">
        <v>464</v>
      </c>
      <c r="D21" s="22">
        <v>6</v>
      </c>
      <c r="E21" s="23">
        <v>7.7489999999999989E-2</v>
      </c>
      <c r="F21" s="23">
        <v>8.2922499999999996E-2</v>
      </c>
      <c r="G21" s="23">
        <v>8.8764999999999983E-2</v>
      </c>
      <c r="H21" s="23">
        <v>0.11526401749999998</v>
      </c>
      <c r="I21" s="23">
        <v>0.11797749999999999</v>
      </c>
      <c r="J21" s="23">
        <v>0.13017499999999999</v>
      </c>
      <c r="K21" s="23">
        <v>5.2274999999999995E-2</v>
      </c>
      <c r="L21" s="23">
        <v>5.8117499999999996E-2</v>
      </c>
      <c r="M21" s="23">
        <v>6.3959999999999989E-2</v>
      </c>
    </row>
    <row r="22" spans="1:13" ht="15" hidden="1" x14ac:dyDescent="0.2">
      <c r="A22" s="61">
        <v>3</v>
      </c>
      <c r="B22" s="41"/>
      <c r="C22" s="22" t="s">
        <v>465</v>
      </c>
      <c r="D22" s="22">
        <v>7</v>
      </c>
      <c r="E22" s="23">
        <v>6.4780000000000004E-2</v>
      </c>
      <c r="F22" s="23">
        <v>6.928999999999999E-2</v>
      </c>
      <c r="G22" s="23">
        <v>7.4107499999999993E-2</v>
      </c>
      <c r="H22" s="23">
        <v>0.11526401749999998</v>
      </c>
      <c r="I22" s="23">
        <v>0.11797749999999999</v>
      </c>
      <c r="J22" s="23">
        <v>0.13017499999999999</v>
      </c>
      <c r="K22" s="23">
        <v>4.6637499999999991E-2</v>
      </c>
      <c r="L22" s="23">
        <v>5.1762499999999996E-2</v>
      </c>
      <c r="M22" s="23">
        <v>5.6989999999999992E-2</v>
      </c>
    </row>
    <row r="23" spans="1:13" ht="15" hidden="1" x14ac:dyDescent="0.2">
      <c r="A23" s="61">
        <v>3</v>
      </c>
      <c r="B23" s="41"/>
      <c r="C23" s="22" t="s">
        <v>466</v>
      </c>
      <c r="D23" s="22">
        <v>8</v>
      </c>
      <c r="E23" s="23">
        <v>6.2524999999999997E-2</v>
      </c>
      <c r="F23" s="23">
        <v>6.6829999999999987E-2</v>
      </c>
      <c r="G23" s="23">
        <v>7.1544999999999997E-2</v>
      </c>
      <c r="H23" s="23">
        <v>0.11526401749999998</v>
      </c>
      <c r="I23" s="23">
        <v>0.11797749999999999</v>
      </c>
      <c r="J23" s="23">
        <v>0.13017499999999999</v>
      </c>
      <c r="K23" s="23">
        <v>4.5714999999999999E-2</v>
      </c>
      <c r="L23" s="23">
        <v>5.0737499999999998E-2</v>
      </c>
      <c r="M23" s="23">
        <v>5.5862499999999995E-2</v>
      </c>
    </row>
    <row r="24" spans="1:13" ht="15" hidden="1" x14ac:dyDescent="0.2">
      <c r="A24" s="61">
        <v>3</v>
      </c>
      <c r="B24" s="41"/>
      <c r="C24" s="22" t="s">
        <v>467</v>
      </c>
      <c r="D24" s="22">
        <v>9</v>
      </c>
      <c r="E24" s="23">
        <v>7.2569999999999996E-2</v>
      </c>
      <c r="F24" s="23">
        <v>7.7695E-2</v>
      </c>
      <c r="G24" s="23">
        <v>8.3127499999999993E-2</v>
      </c>
      <c r="H24" s="23">
        <v>0.11967028749999999</v>
      </c>
      <c r="I24" s="23">
        <v>0.12248749999999999</v>
      </c>
      <c r="J24" s="23">
        <v>0.13427500000000001</v>
      </c>
      <c r="K24" s="23">
        <v>5.4017499999999989E-2</v>
      </c>
      <c r="L24" s="23">
        <v>6.0064999999999993E-2</v>
      </c>
      <c r="M24" s="23">
        <v>6.6112499999999991E-2</v>
      </c>
    </row>
    <row r="25" spans="1:13" ht="15" hidden="1" x14ac:dyDescent="0.2">
      <c r="A25" s="61">
        <v>3</v>
      </c>
      <c r="B25" s="41"/>
      <c r="C25" s="22" t="s">
        <v>468</v>
      </c>
      <c r="D25" s="22">
        <v>10</v>
      </c>
      <c r="E25" s="23">
        <v>5.4529999999999995E-2</v>
      </c>
      <c r="F25" s="23">
        <v>6.1089999999999992E-2</v>
      </c>
      <c r="G25" s="23">
        <v>6.5394999999999995E-2</v>
      </c>
      <c r="H25" s="23">
        <v>0.11967028749999999</v>
      </c>
      <c r="I25" s="23">
        <v>0.12248749999999999</v>
      </c>
      <c r="J25" s="23">
        <v>0.13427500000000001</v>
      </c>
      <c r="K25" s="23">
        <v>4.2025E-2</v>
      </c>
      <c r="L25" s="23">
        <v>4.6739999999999997E-2</v>
      </c>
      <c r="M25" s="23">
        <v>5.1454999999999994E-2</v>
      </c>
    </row>
    <row r="26" spans="1:13" ht="15" hidden="1" x14ac:dyDescent="0.2">
      <c r="A26" s="61">
        <v>3</v>
      </c>
      <c r="B26" s="41"/>
      <c r="C26" s="22" t="s">
        <v>469</v>
      </c>
      <c r="D26" s="22">
        <v>11</v>
      </c>
      <c r="E26" s="23">
        <v>4.807249999999999E-2</v>
      </c>
      <c r="F26" s="23">
        <v>5.3914999999999998E-2</v>
      </c>
      <c r="G26" s="23">
        <v>5.7707499999999995E-2</v>
      </c>
      <c r="H26" s="23">
        <v>0.10565033749999998</v>
      </c>
      <c r="I26" s="23">
        <v>0.10813749999999998</v>
      </c>
      <c r="J26" s="23">
        <v>0.11889999999999999</v>
      </c>
      <c r="K26" s="23">
        <v>3.7207499999999998E-2</v>
      </c>
      <c r="L26" s="23">
        <v>4.1307499999999997E-2</v>
      </c>
      <c r="M26" s="23">
        <v>4.5509999999999995E-2</v>
      </c>
    </row>
    <row r="27" spans="1:13" ht="15" hidden="1" x14ac:dyDescent="0.2">
      <c r="A27" s="61">
        <v>3</v>
      </c>
      <c r="B27" s="41"/>
      <c r="C27" s="22" t="s">
        <v>454</v>
      </c>
      <c r="D27" s="22">
        <v>12</v>
      </c>
      <c r="E27" s="23">
        <v>3.8899999999999997E-2</v>
      </c>
      <c r="F27" s="23">
        <v>4.36E-2</v>
      </c>
      <c r="G27" s="23">
        <v>4.6699999999999998E-2</v>
      </c>
      <c r="H27" s="23">
        <v>8.5599999999999996E-2</v>
      </c>
      <c r="I27" s="23">
        <v>8.7499999999999994E-2</v>
      </c>
      <c r="J27" s="23">
        <v>9.6199999999999994E-2</v>
      </c>
      <c r="K27" s="23">
        <v>0.03</v>
      </c>
      <c r="L27" s="23">
        <v>3.3300000000000003E-2</v>
      </c>
      <c r="M27" s="23">
        <v>3.6700000000000003E-2</v>
      </c>
    </row>
    <row r="28" spans="1:13" ht="15" hidden="1" x14ac:dyDescent="0.2">
      <c r="A28" s="61">
        <v>3</v>
      </c>
      <c r="B28" s="41"/>
      <c r="C28" s="50" t="s">
        <v>470</v>
      </c>
      <c r="D28" s="50">
        <v>13</v>
      </c>
      <c r="E28" s="23">
        <v>9.8000000000000004E-2</v>
      </c>
      <c r="F28" s="23">
        <v>0.1052</v>
      </c>
      <c r="G28" s="23">
        <v>0.1157</v>
      </c>
      <c r="H28" s="23">
        <v>0.15740617142857144</v>
      </c>
      <c r="I28" s="23">
        <v>0.16089999999999999</v>
      </c>
      <c r="J28" s="23">
        <v>0.17269999999999999</v>
      </c>
      <c r="K28" s="23">
        <v>8.1299999999999997E-2</v>
      </c>
      <c r="L28" s="23">
        <v>8.7300000000000003E-2</v>
      </c>
      <c r="M28" s="23">
        <v>9.6100000000000005E-2</v>
      </c>
    </row>
    <row r="29" spans="1:13" ht="15" x14ac:dyDescent="0.2">
      <c r="B29" s="41"/>
      <c r="C29" s="45"/>
      <c r="D29" s="45"/>
      <c r="E29" s="32"/>
      <c r="F29" s="32"/>
      <c r="G29" s="32"/>
      <c r="H29" s="32"/>
      <c r="I29" s="32"/>
      <c r="J29" s="32"/>
      <c r="K29" s="32"/>
      <c r="L29" s="32"/>
      <c r="M29" s="32"/>
    </row>
    <row r="30" spans="1:13" ht="15" x14ac:dyDescent="0.2">
      <c r="D30" s="33"/>
    </row>
    <row r="31" spans="1:13" ht="37.5" x14ac:dyDescent="0.2">
      <c r="E31" s="21" t="s">
        <v>134</v>
      </c>
      <c r="F31" s="21" t="s">
        <v>135</v>
      </c>
      <c r="G31" s="21" t="s">
        <v>136</v>
      </c>
      <c r="H31" s="21" t="s">
        <v>155</v>
      </c>
      <c r="I31" s="21" t="s">
        <v>137</v>
      </c>
      <c r="J31" s="21" t="s">
        <v>138</v>
      </c>
      <c r="K31" s="21" t="s">
        <v>143</v>
      </c>
      <c r="L31" s="21" t="s">
        <v>144</v>
      </c>
      <c r="M31" s="21" t="s">
        <v>142</v>
      </c>
    </row>
    <row r="32" spans="1:13" ht="15" x14ac:dyDescent="0.2">
      <c r="C32" s="23" t="s">
        <v>103</v>
      </c>
      <c r="D32" s="23" t="s">
        <v>30</v>
      </c>
      <c r="E32" s="23" t="s">
        <v>125</v>
      </c>
      <c r="F32" s="23" t="s">
        <v>125</v>
      </c>
      <c r="G32" s="23" t="s">
        <v>125</v>
      </c>
      <c r="H32" s="23" t="s">
        <v>119</v>
      </c>
      <c r="I32" s="23" t="s">
        <v>119</v>
      </c>
      <c r="J32" s="23" t="s">
        <v>119</v>
      </c>
      <c r="K32" s="23" t="s">
        <v>139</v>
      </c>
      <c r="L32" s="23" t="s">
        <v>139</v>
      </c>
      <c r="M32" s="23" t="s">
        <v>139</v>
      </c>
    </row>
    <row r="33" spans="3:13" ht="15" x14ac:dyDescent="0.2">
      <c r="C33" s="23" t="s">
        <v>104</v>
      </c>
      <c r="D33" s="23" t="s">
        <v>22</v>
      </c>
      <c r="E33" s="23" t="s">
        <v>139</v>
      </c>
      <c r="F33" s="23" t="s">
        <v>139</v>
      </c>
      <c r="G33" s="23" t="s">
        <v>139</v>
      </c>
      <c r="H33" s="23" t="s">
        <v>161</v>
      </c>
      <c r="I33" s="23" t="s">
        <v>160</v>
      </c>
      <c r="J33" s="23" t="s">
        <v>126</v>
      </c>
      <c r="K33" s="23" t="s">
        <v>139</v>
      </c>
      <c r="L33" s="23" t="s">
        <v>139</v>
      </c>
      <c r="M33" s="23" t="s">
        <v>139</v>
      </c>
    </row>
    <row r="34" spans="3:13" ht="15" x14ac:dyDescent="0.2">
      <c r="C34" s="23" t="s">
        <v>105</v>
      </c>
      <c r="D34" s="23" t="s">
        <v>23</v>
      </c>
      <c r="E34" s="23" t="s">
        <v>173</v>
      </c>
      <c r="F34" s="23" t="s">
        <v>174</v>
      </c>
      <c r="G34" s="23" t="s">
        <v>125</v>
      </c>
      <c r="H34" s="23" t="s">
        <v>175</v>
      </c>
      <c r="I34" s="23" t="s">
        <v>173</v>
      </c>
      <c r="J34" s="23" t="s">
        <v>154</v>
      </c>
      <c r="K34" s="23" t="s">
        <v>176</v>
      </c>
      <c r="L34" s="23" t="s">
        <v>154</v>
      </c>
      <c r="M34" s="23" t="s">
        <v>125</v>
      </c>
    </row>
    <row r="35" spans="3:13" ht="15" x14ac:dyDescent="0.2">
      <c r="C35" s="23" t="s">
        <v>106</v>
      </c>
      <c r="D35" s="23" t="s">
        <v>24</v>
      </c>
      <c r="E35" s="23" t="s">
        <v>139</v>
      </c>
      <c r="F35" s="23" t="s">
        <v>139</v>
      </c>
      <c r="G35" s="23" t="s">
        <v>139</v>
      </c>
      <c r="H35" s="23" t="s">
        <v>161</v>
      </c>
      <c r="I35" s="23" t="s">
        <v>160</v>
      </c>
      <c r="J35" s="23" t="s">
        <v>126</v>
      </c>
      <c r="K35" s="23" t="s">
        <v>139</v>
      </c>
      <c r="L35" s="23" t="s">
        <v>139</v>
      </c>
      <c r="M35" s="23" t="s">
        <v>139</v>
      </c>
    </row>
    <row r="36" spans="3:13" ht="15" x14ac:dyDescent="0.2">
      <c r="C36" s="23" t="s">
        <v>107</v>
      </c>
      <c r="D36" s="23" t="s">
        <v>5</v>
      </c>
      <c r="E36" s="23" t="s">
        <v>173</v>
      </c>
      <c r="F36" s="23" t="s">
        <v>174</v>
      </c>
      <c r="G36" s="23" t="s">
        <v>125</v>
      </c>
      <c r="H36" s="23" t="s">
        <v>175</v>
      </c>
      <c r="I36" s="23" t="s">
        <v>173</v>
      </c>
      <c r="J36" s="23" t="s">
        <v>154</v>
      </c>
      <c r="K36" s="23" t="s">
        <v>176</v>
      </c>
      <c r="L36" s="23" t="s">
        <v>154</v>
      </c>
      <c r="M36" s="23" t="s">
        <v>125</v>
      </c>
    </row>
    <row r="37" spans="3:13" ht="15" x14ac:dyDescent="0.2">
      <c r="C37" s="23" t="s">
        <v>123</v>
      </c>
      <c r="D37" s="23" t="s">
        <v>118</v>
      </c>
      <c r="E37" s="24" t="s">
        <v>124</v>
      </c>
      <c r="F37" s="24" t="s">
        <v>124</v>
      </c>
      <c r="G37" s="24" t="s">
        <v>124</v>
      </c>
      <c r="H37" s="24" t="s">
        <v>124</v>
      </c>
      <c r="I37" s="24" t="s">
        <v>124</v>
      </c>
      <c r="J37" s="24" t="s">
        <v>124</v>
      </c>
      <c r="K37" s="24" t="s">
        <v>124</v>
      </c>
      <c r="L37" s="24" t="s">
        <v>124</v>
      </c>
      <c r="M37" s="24" t="s">
        <v>124</v>
      </c>
    </row>
    <row r="39" spans="3:13" ht="15" x14ac:dyDescent="0.2">
      <c r="E39" s="24" t="s">
        <v>120</v>
      </c>
      <c r="F39" s="24" t="s">
        <v>25</v>
      </c>
      <c r="I39" s="34"/>
    </row>
    <row r="40" spans="3:13" ht="15" x14ac:dyDescent="0.2">
      <c r="E40" s="23" t="s">
        <v>156</v>
      </c>
      <c r="F40" s="24">
        <v>1</v>
      </c>
      <c r="I40" s="35"/>
      <c r="J40" s="32"/>
      <c r="K40" s="34"/>
    </row>
    <row r="41" spans="3:13" ht="15" x14ac:dyDescent="0.2">
      <c r="E41" s="23" t="s">
        <v>157</v>
      </c>
      <c r="F41" s="24">
        <v>2</v>
      </c>
      <c r="I41" s="35"/>
      <c r="J41" s="32"/>
      <c r="K41" s="34"/>
    </row>
    <row r="42" spans="3:13" ht="15" x14ac:dyDescent="0.2">
      <c r="E42" s="23" t="s">
        <v>158</v>
      </c>
      <c r="F42" s="24">
        <v>3</v>
      </c>
      <c r="I42" s="35"/>
      <c r="J42" s="32"/>
      <c r="K42" s="34"/>
    </row>
    <row r="43" spans="3:13" ht="15" x14ac:dyDescent="0.2">
      <c r="E43" s="23" t="s">
        <v>159</v>
      </c>
      <c r="F43" s="24">
        <v>4</v>
      </c>
      <c r="I43" s="35"/>
      <c r="J43" s="32"/>
      <c r="K43" s="34"/>
    </row>
    <row r="44" spans="3:13" ht="15" x14ac:dyDescent="0.2">
      <c r="E44" s="23" t="s">
        <v>121</v>
      </c>
      <c r="F44" s="24">
        <v>5</v>
      </c>
      <c r="I44" s="35"/>
      <c r="J44" s="32"/>
      <c r="K44" s="34"/>
    </row>
    <row r="45" spans="3:13" ht="15" x14ac:dyDescent="0.2">
      <c r="E45" s="23" t="s">
        <v>122</v>
      </c>
      <c r="F45" s="24">
        <v>6</v>
      </c>
      <c r="I45" s="35"/>
    </row>
    <row r="46" spans="3:13" ht="15" x14ac:dyDescent="0.2">
      <c r="E46" s="23" t="s">
        <v>140</v>
      </c>
      <c r="F46" s="24">
        <v>7</v>
      </c>
    </row>
    <row r="47" spans="3:13" ht="15" x14ac:dyDescent="0.2">
      <c r="E47" s="23" t="s">
        <v>141</v>
      </c>
      <c r="F47" s="24">
        <v>8</v>
      </c>
    </row>
    <row r="48" spans="3:13" ht="15" x14ac:dyDescent="0.2">
      <c r="E48" s="23" t="s">
        <v>142</v>
      </c>
      <c r="F48" s="24">
        <v>9</v>
      </c>
    </row>
  </sheetData>
  <sheetProtection password="DEDD" sheet="1"/>
  <mergeCells count="2">
    <mergeCell ref="C4:C8"/>
    <mergeCell ref="C9:C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43"/>
  <sheetViews>
    <sheetView workbookViewId="0">
      <selection activeCell="C14" sqref="B14:C14"/>
    </sheetView>
  </sheetViews>
  <sheetFormatPr baseColWidth="10" defaultRowHeight="12.75" x14ac:dyDescent="0.2"/>
  <cols>
    <col min="1" max="1" width="9" bestFit="1" customWidth="1"/>
    <col min="2" max="2" width="16.28515625" bestFit="1" customWidth="1"/>
    <col min="3" max="3" width="14" bestFit="1" customWidth="1"/>
    <col min="4" max="4" width="16.85546875" bestFit="1" customWidth="1"/>
    <col min="5" max="5" width="18.28515625" bestFit="1" customWidth="1"/>
    <col min="6" max="6" width="28.140625" bestFit="1" customWidth="1"/>
    <col min="7" max="7" width="20.140625" bestFit="1" customWidth="1"/>
    <col min="8" max="8" width="56.7109375" bestFit="1" customWidth="1"/>
    <col min="9" max="9" width="10.140625" bestFit="1" customWidth="1"/>
    <col min="10" max="10" width="23.42578125" bestFit="1" customWidth="1"/>
    <col min="11" max="11" width="16.28515625" bestFit="1" customWidth="1"/>
    <col min="12" max="12" width="14" bestFit="1" customWidth="1"/>
  </cols>
  <sheetData>
    <row r="1" spans="1:13" x14ac:dyDescent="0.2">
      <c r="A1" s="1" t="s">
        <v>25</v>
      </c>
      <c r="B1" s="1" t="s">
        <v>3</v>
      </c>
      <c r="C1" s="1" t="s">
        <v>2</v>
      </c>
      <c r="D1" s="1" t="s">
        <v>458</v>
      </c>
      <c r="E1" s="1" t="s">
        <v>26</v>
      </c>
      <c r="F1" s="1" t="s">
        <v>27</v>
      </c>
      <c r="G1" s="1" t="s">
        <v>28</v>
      </c>
      <c r="H1" s="1"/>
      <c r="I1" s="1" t="s">
        <v>116</v>
      </c>
      <c r="J1" s="1" t="s">
        <v>117</v>
      </c>
      <c r="K1" s="1" t="s">
        <v>379</v>
      </c>
      <c r="L1" s="43" t="s">
        <v>147</v>
      </c>
    </row>
    <row r="2" spans="1:13" ht="15" x14ac:dyDescent="0.25">
      <c r="A2" s="2" t="s">
        <v>260</v>
      </c>
      <c r="B2" s="2" t="s">
        <v>379</v>
      </c>
      <c r="C2" s="2" t="s">
        <v>20</v>
      </c>
      <c r="D2" s="40">
        <v>1</v>
      </c>
      <c r="E2" s="2" t="s">
        <v>384</v>
      </c>
      <c r="F2" s="2" t="s">
        <v>163</v>
      </c>
      <c r="G2" s="2" t="s">
        <v>385</v>
      </c>
      <c r="H2" s="40" t="str">
        <f t="shared" ref="H2:H65" si="0">CONCATENATE(A2, " ",B2," ",E2," ",F2," ",G2)</f>
        <v>00317003 AUTECO SUMA 80 MT 80CC 2T</v>
      </c>
      <c r="I2" s="40"/>
      <c r="J2" s="40"/>
      <c r="K2" s="2" t="s">
        <v>380</v>
      </c>
      <c r="L2" s="44" t="s">
        <v>20</v>
      </c>
      <c r="M2" s="39"/>
    </row>
    <row r="3" spans="1:13" ht="15" x14ac:dyDescent="0.25">
      <c r="A3" s="2" t="s">
        <v>261</v>
      </c>
      <c r="B3" s="2" t="s">
        <v>379</v>
      </c>
      <c r="C3" s="2" t="s">
        <v>20</v>
      </c>
      <c r="D3" s="40">
        <v>1</v>
      </c>
      <c r="E3" s="2" t="s">
        <v>386</v>
      </c>
      <c r="F3" s="2" t="s">
        <v>164</v>
      </c>
      <c r="G3" s="2" t="s">
        <v>148</v>
      </c>
      <c r="H3" s="40" t="str">
        <f t="shared" si="0"/>
        <v>00317004 AUTECO KTZ 100 MT 100CC</v>
      </c>
      <c r="I3" s="40"/>
      <c r="J3" s="40"/>
      <c r="K3" s="2" t="s">
        <v>382</v>
      </c>
      <c r="M3" s="39"/>
    </row>
    <row r="4" spans="1:13" ht="15" x14ac:dyDescent="0.25">
      <c r="A4" s="2" t="s">
        <v>262</v>
      </c>
      <c r="B4" s="2" t="s">
        <v>379</v>
      </c>
      <c r="C4" s="2" t="s">
        <v>20</v>
      </c>
      <c r="D4" s="40">
        <v>1</v>
      </c>
      <c r="E4" s="2" t="s">
        <v>387</v>
      </c>
      <c r="F4" s="2" t="s">
        <v>388</v>
      </c>
      <c r="G4" s="2" t="s">
        <v>151</v>
      </c>
      <c r="H4" s="40" t="str">
        <f t="shared" si="0"/>
        <v>00317006 AUTECO BAJAJ PLUS POWER AT 150CC</v>
      </c>
      <c r="I4" s="40"/>
      <c r="J4" s="40"/>
      <c r="K4" s="65" t="s">
        <v>381</v>
      </c>
      <c r="M4" s="39"/>
    </row>
    <row r="5" spans="1:13" ht="15" x14ac:dyDescent="0.25">
      <c r="A5" s="2" t="s">
        <v>263</v>
      </c>
      <c r="B5" s="2" t="s">
        <v>379</v>
      </c>
      <c r="C5" s="2" t="s">
        <v>20</v>
      </c>
      <c r="D5" s="40">
        <v>1</v>
      </c>
      <c r="E5" s="2" t="s">
        <v>389</v>
      </c>
      <c r="F5" s="2" t="s">
        <v>163</v>
      </c>
      <c r="G5" s="2" t="s">
        <v>390</v>
      </c>
      <c r="H5" s="40" t="str">
        <f t="shared" si="0"/>
        <v>00317007 AUTECO ZIP 80 AT 80CC</v>
      </c>
      <c r="I5" s="40"/>
      <c r="J5" s="40"/>
      <c r="K5" s="2" t="s">
        <v>383</v>
      </c>
      <c r="M5" s="39"/>
    </row>
    <row r="6" spans="1:13" ht="15" x14ac:dyDescent="0.25">
      <c r="A6" s="2" t="s">
        <v>264</v>
      </c>
      <c r="B6" s="2" t="s">
        <v>379</v>
      </c>
      <c r="C6" s="2" t="s">
        <v>20</v>
      </c>
      <c r="D6" s="40">
        <v>1</v>
      </c>
      <c r="E6" s="2" t="s">
        <v>391</v>
      </c>
      <c r="F6" s="2" t="s">
        <v>15</v>
      </c>
      <c r="G6" s="2" t="s">
        <v>16</v>
      </c>
      <c r="H6" s="40" t="str">
        <f t="shared" si="0"/>
        <v>00317008 AUTECO KB 125 MT 125CC</v>
      </c>
      <c r="I6" s="40"/>
      <c r="J6" s="40"/>
      <c r="K6" s="2"/>
      <c r="M6" s="39"/>
    </row>
    <row r="7" spans="1:13" ht="15" x14ac:dyDescent="0.25">
      <c r="A7" s="2" t="s">
        <v>265</v>
      </c>
      <c r="B7" s="2" t="s">
        <v>379</v>
      </c>
      <c r="C7" s="2" t="s">
        <v>20</v>
      </c>
      <c r="D7" s="40">
        <v>1</v>
      </c>
      <c r="E7" s="2" t="s">
        <v>392</v>
      </c>
      <c r="F7" s="2" t="s">
        <v>163</v>
      </c>
      <c r="G7" s="2" t="s">
        <v>393</v>
      </c>
      <c r="H7" s="40" t="str">
        <f t="shared" si="0"/>
        <v>00317009 AUTECO SUNNY 80 MT 80CC</v>
      </c>
      <c r="I7" s="40"/>
      <c r="J7" s="40"/>
      <c r="K7" s="2"/>
      <c r="M7" s="39"/>
    </row>
    <row r="8" spans="1:13" ht="15" x14ac:dyDescent="0.25">
      <c r="A8" s="2" t="s">
        <v>266</v>
      </c>
      <c r="B8" s="2" t="s">
        <v>379</v>
      </c>
      <c r="C8" s="2" t="s">
        <v>20</v>
      </c>
      <c r="D8" s="40">
        <v>1</v>
      </c>
      <c r="E8" s="2" t="s">
        <v>387</v>
      </c>
      <c r="F8" s="2" t="s">
        <v>394</v>
      </c>
      <c r="G8" s="2" t="s">
        <v>21</v>
      </c>
      <c r="H8" s="40" t="str">
        <f t="shared" si="0"/>
        <v>00317010 AUTECO BAJAJ PLUS CLASSIC MT 150CC</v>
      </c>
      <c r="I8" s="40"/>
      <c r="J8" s="40"/>
      <c r="K8" s="2"/>
      <c r="M8" s="39"/>
    </row>
    <row r="9" spans="1:13" ht="15" x14ac:dyDescent="0.25">
      <c r="A9" s="2" t="s">
        <v>267</v>
      </c>
      <c r="B9" s="2" t="s">
        <v>379</v>
      </c>
      <c r="C9" s="2" t="s">
        <v>20</v>
      </c>
      <c r="D9" s="40">
        <v>1</v>
      </c>
      <c r="E9" s="2" t="s">
        <v>387</v>
      </c>
      <c r="F9" s="2" t="s">
        <v>395</v>
      </c>
      <c r="G9" s="2" t="s">
        <v>148</v>
      </c>
      <c r="H9" s="40" t="str">
        <f t="shared" si="0"/>
        <v>00317015 AUTECO BAJAJ BOXER CT100 MT 100CC</v>
      </c>
      <c r="I9" s="40"/>
      <c r="J9" s="40"/>
      <c r="K9" s="2"/>
      <c r="M9" s="39"/>
    </row>
    <row r="10" spans="1:13" ht="15" x14ac:dyDescent="0.25">
      <c r="A10" s="2" t="s">
        <v>268</v>
      </c>
      <c r="B10" s="2" t="s">
        <v>379</v>
      </c>
      <c r="C10" s="2" t="s">
        <v>20</v>
      </c>
      <c r="D10" s="40">
        <v>1</v>
      </c>
      <c r="E10" s="2" t="s">
        <v>387</v>
      </c>
      <c r="F10" s="2" t="s">
        <v>396</v>
      </c>
      <c r="G10" s="2" t="s">
        <v>21</v>
      </c>
      <c r="H10" s="40" t="str">
        <f t="shared" si="0"/>
        <v>00317016 AUTECO BAJAJ LEGEND MT 150CC</v>
      </c>
      <c r="I10" s="40"/>
      <c r="J10" s="40"/>
      <c r="K10" s="2"/>
      <c r="M10" s="39"/>
    </row>
    <row r="11" spans="1:13" ht="15" x14ac:dyDescent="0.25">
      <c r="A11" s="2" t="s">
        <v>269</v>
      </c>
      <c r="B11" s="2" t="s">
        <v>379</v>
      </c>
      <c r="C11" s="2" t="s">
        <v>20</v>
      </c>
      <c r="D11" s="40">
        <v>1</v>
      </c>
      <c r="E11" s="2" t="s">
        <v>387</v>
      </c>
      <c r="F11" s="2" t="s">
        <v>165</v>
      </c>
      <c r="G11" s="2" t="s">
        <v>397</v>
      </c>
      <c r="H11" s="40" t="str">
        <f t="shared" si="0"/>
        <v>00317017 AUTECO BAJAJ BRAVO MT 145CC</v>
      </c>
      <c r="I11" s="40"/>
      <c r="J11" s="40"/>
      <c r="K11" s="2"/>
      <c r="M11" s="39"/>
    </row>
    <row r="12" spans="1:13" ht="15" x14ac:dyDescent="0.25">
      <c r="A12" s="2" t="s">
        <v>270</v>
      </c>
      <c r="B12" s="2" t="s">
        <v>379</v>
      </c>
      <c r="C12" s="2" t="s">
        <v>20</v>
      </c>
      <c r="D12" s="40">
        <v>1</v>
      </c>
      <c r="E12" s="2" t="s">
        <v>387</v>
      </c>
      <c r="F12" s="2" t="s">
        <v>398</v>
      </c>
      <c r="G12" s="2" t="s">
        <v>399</v>
      </c>
      <c r="H12" s="40" t="str">
        <f t="shared" si="0"/>
        <v>00317019 AUTECO BAJAJ SPIRIT 60 AT 60CC</v>
      </c>
      <c r="I12" s="40"/>
      <c r="J12" s="40"/>
      <c r="K12" s="2"/>
      <c r="M12" s="39"/>
    </row>
    <row r="13" spans="1:13" ht="15" x14ac:dyDescent="0.25">
      <c r="A13" s="2" t="s">
        <v>271</v>
      </c>
      <c r="B13" s="2" t="s">
        <v>379</v>
      </c>
      <c r="C13" s="2" t="s">
        <v>20</v>
      </c>
      <c r="D13" s="40">
        <v>1</v>
      </c>
      <c r="E13" s="2" t="s">
        <v>387</v>
      </c>
      <c r="F13" s="2" t="s">
        <v>400</v>
      </c>
      <c r="G13" s="2" t="s">
        <v>21</v>
      </c>
      <c r="H13" s="40" t="str">
        <f t="shared" si="0"/>
        <v>00317022 AUTECO BAJAJ NXT 150 MT 150CC</v>
      </c>
      <c r="I13" s="40"/>
      <c r="J13" s="40"/>
      <c r="K13" s="2"/>
      <c r="M13" s="39"/>
    </row>
    <row r="14" spans="1:13" ht="15" x14ac:dyDescent="0.25">
      <c r="A14" s="2" t="s">
        <v>272</v>
      </c>
      <c r="B14" s="2" t="s">
        <v>379</v>
      </c>
      <c r="C14" s="2" t="s">
        <v>20</v>
      </c>
      <c r="D14" s="40">
        <v>1</v>
      </c>
      <c r="E14" s="2" t="s">
        <v>387</v>
      </c>
      <c r="F14" s="2" t="s">
        <v>401</v>
      </c>
      <c r="G14" s="2" t="s">
        <v>149</v>
      </c>
      <c r="H14" s="40" t="str">
        <f t="shared" si="0"/>
        <v>00317025 AUTECO BAJAJ PULSAR MT 180CC</v>
      </c>
      <c r="I14" s="40"/>
      <c r="J14" s="40"/>
      <c r="K14" s="2"/>
      <c r="M14" s="39"/>
    </row>
    <row r="15" spans="1:13" ht="15" x14ac:dyDescent="0.25">
      <c r="A15" s="2" t="s">
        <v>273</v>
      </c>
      <c r="B15" s="2" t="s">
        <v>379</v>
      </c>
      <c r="C15" s="2" t="s">
        <v>20</v>
      </c>
      <c r="D15" s="40">
        <v>1</v>
      </c>
      <c r="E15" s="2" t="s">
        <v>166</v>
      </c>
      <c r="F15" s="2" t="s">
        <v>164</v>
      </c>
      <c r="G15" s="2" t="s">
        <v>148</v>
      </c>
      <c r="H15" s="40" t="str">
        <f t="shared" si="0"/>
        <v>00317028 AUTECO MAX 100 MT 100CC</v>
      </c>
      <c r="I15" s="40"/>
      <c r="J15" s="40"/>
      <c r="K15" s="2"/>
      <c r="M15" s="39"/>
    </row>
    <row r="16" spans="1:13" ht="15" x14ac:dyDescent="0.25">
      <c r="A16" s="2" t="s">
        <v>274</v>
      </c>
      <c r="B16" s="2" t="s">
        <v>379</v>
      </c>
      <c r="C16" s="2" t="s">
        <v>20</v>
      </c>
      <c r="D16" s="40">
        <v>1</v>
      </c>
      <c r="E16" s="2" t="s">
        <v>387</v>
      </c>
      <c r="F16" s="2" t="s">
        <v>402</v>
      </c>
      <c r="G16" s="2" t="s">
        <v>167</v>
      </c>
      <c r="H16" s="40" t="str">
        <f t="shared" si="0"/>
        <v>00317029 AUTECO BAJAJ AVANTI MT 90CC</v>
      </c>
      <c r="I16" s="40"/>
      <c r="J16" s="40"/>
      <c r="K16" s="2"/>
      <c r="M16" s="39"/>
    </row>
    <row r="17" spans="1:13" ht="15" x14ac:dyDescent="0.25">
      <c r="A17" s="2" t="s">
        <v>478</v>
      </c>
      <c r="B17" s="2" t="s">
        <v>379</v>
      </c>
      <c r="C17" s="2" t="s">
        <v>20</v>
      </c>
      <c r="D17" s="40">
        <v>1</v>
      </c>
      <c r="E17" s="2" t="s">
        <v>387</v>
      </c>
      <c r="F17" s="2" t="s">
        <v>505</v>
      </c>
      <c r="G17" s="2" t="s">
        <v>506</v>
      </c>
      <c r="H17" s="40" t="str">
        <f t="shared" si="0"/>
        <v>00317030 AUTECO BAJAJ CALIBER II 115 MT 115CC</v>
      </c>
      <c r="I17" s="40"/>
      <c r="J17" s="40"/>
      <c r="K17" s="2"/>
      <c r="M17" s="39"/>
    </row>
    <row r="18" spans="1:13" ht="15" x14ac:dyDescent="0.25">
      <c r="A18" s="2" t="s">
        <v>275</v>
      </c>
      <c r="B18" s="2" t="s">
        <v>379</v>
      </c>
      <c r="C18" s="2" t="s">
        <v>20</v>
      </c>
      <c r="D18" s="40">
        <v>1</v>
      </c>
      <c r="E18" s="2" t="s">
        <v>383</v>
      </c>
      <c r="F18" s="2" t="s">
        <v>403</v>
      </c>
      <c r="G18" s="2" t="s">
        <v>21</v>
      </c>
      <c r="H18" s="40" t="str">
        <f t="shared" si="0"/>
        <v>00317035 AUTECO VICTORY FURAX MT 150CC</v>
      </c>
      <c r="I18" s="40"/>
      <c r="J18" s="40"/>
      <c r="K18" s="2"/>
      <c r="M18" s="39"/>
    </row>
    <row r="19" spans="1:13" ht="15" x14ac:dyDescent="0.25">
      <c r="A19" s="2" t="s">
        <v>276</v>
      </c>
      <c r="B19" s="2" t="s">
        <v>379</v>
      </c>
      <c r="C19" s="2" t="s">
        <v>20</v>
      </c>
      <c r="D19" s="40">
        <v>1</v>
      </c>
      <c r="E19" s="2" t="s">
        <v>387</v>
      </c>
      <c r="F19" s="2" t="s">
        <v>404</v>
      </c>
      <c r="G19" s="2" t="s">
        <v>16</v>
      </c>
      <c r="H19" s="40" t="str">
        <f t="shared" si="0"/>
        <v>00317037 AUTECO BAJAJ DISCOVER [1] MT 125CC</v>
      </c>
      <c r="I19" s="40"/>
      <c r="J19" s="40"/>
      <c r="K19" s="2"/>
      <c r="M19" s="39"/>
    </row>
    <row r="20" spans="1:13" ht="15" x14ac:dyDescent="0.25">
      <c r="A20" s="2" t="s">
        <v>277</v>
      </c>
      <c r="B20" s="2" t="s">
        <v>379</v>
      </c>
      <c r="C20" s="2" t="s">
        <v>20</v>
      </c>
      <c r="D20" s="40">
        <v>1</v>
      </c>
      <c r="E20" s="2" t="s">
        <v>387</v>
      </c>
      <c r="F20" s="2" t="s">
        <v>405</v>
      </c>
      <c r="G20" s="2" t="s">
        <v>149</v>
      </c>
      <c r="H20" s="40" t="str">
        <f t="shared" si="0"/>
        <v>00317038 AUTECO BAJAJ PULSAR II MT 180CC</v>
      </c>
      <c r="I20" s="40"/>
      <c r="J20" s="40"/>
      <c r="K20" s="2"/>
      <c r="M20" s="39"/>
    </row>
    <row r="21" spans="1:13" ht="15" x14ac:dyDescent="0.25">
      <c r="A21" s="2" t="s">
        <v>278</v>
      </c>
      <c r="B21" s="2" t="s">
        <v>379</v>
      </c>
      <c r="C21" s="2" t="s">
        <v>20</v>
      </c>
      <c r="D21" s="40">
        <v>1</v>
      </c>
      <c r="E21" s="2" t="s">
        <v>387</v>
      </c>
      <c r="F21" s="2" t="s">
        <v>406</v>
      </c>
      <c r="G21" s="2" t="s">
        <v>148</v>
      </c>
      <c r="H21" s="40" t="str">
        <f t="shared" si="0"/>
        <v>00317039 AUTECO BAJAJ PLATINO MT 100CC</v>
      </c>
      <c r="I21" s="40"/>
      <c r="J21" s="40"/>
      <c r="K21" s="2"/>
      <c r="M21" s="39"/>
    </row>
    <row r="22" spans="1:13" ht="15" x14ac:dyDescent="0.25">
      <c r="A22" s="2" t="s">
        <v>279</v>
      </c>
      <c r="B22" s="2" t="s">
        <v>379</v>
      </c>
      <c r="C22" s="2" t="s">
        <v>20</v>
      </c>
      <c r="D22" s="40">
        <v>1</v>
      </c>
      <c r="E22" s="2" t="s">
        <v>387</v>
      </c>
      <c r="F22" s="2" t="s">
        <v>407</v>
      </c>
      <c r="G22" s="2" t="s">
        <v>168</v>
      </c>
      <c r="H22" s="40" t="str">
        <f t="shared" si="0"/>
        <v>00317041 AUTECO BAJAJ DISCOVER [2] SUPREME MT 135CC</v>
      </c>
      <c r="I22" s="40"/>
      <c r="J22" s="40"/>
      <c r="K22" s="2"/>
      <c r="M22" s="39"/>
    </row>
    <row r="23" spans="1:13" ht="15" x14ac:dyDescent="0.25">
      <c r="A23" s="2" t="s">
        <v>280</v>
      </c>
      <c r="B23" s="2" t="s">
        <v>379</v>
      </c>
      <c r="C23" s="2" t="s">
        <v>20</v>
      </c>
      <c r="D23" s="40">
        <v>1</v>
      </c>
      <c r="E23" s="2" t="s">
        <v>387</v>
      </c>
      <c r="F23" s="2" t="s">
        <v>408</v>
      </c>
      <c r="G23" s="2" t="s">
        <v>168</v>
      </c>
      <c r="H23" s="40" t="str">
        <f t="shared" si="0"/>
        <v>00317042 AUTECO BAJAJ DISCOVER [2] SPORT MT 135CC</v>
      </c>
      <c r="I23" s="40"/>
      <c r="J23" s="40"/>
      <c r="K23" s="2"/>
      <c r="M23" s="39"/>
    </row>
    <row r="24" spans="1:13" ht="15" x14ac:dyDescent="0.25">
      <c r="A24" s="2" t="s">
        <v>281</v>
      </c>
      <c r="B24" s="2" t="s">
        <v>379</v>
      </c>
      <c r="C24" s="2" t="s">
        <v>20</v>
      </c>
      <c r="D24" s="40">
        <v>1</v>
      </c>
      <c r="E24" s="2" t="s">
        <v>387</v>
      </c>
      <c r="F24" s="2" t="s">
        <v>401</v>
      </c>
      <c r="G24" s="2" t="s">
        <v>7</v>
      </c>
      <c r="H24" s="40" t="str">
        <f t="shared" si="0"/>
        <v>00317043 AUTECO BAJAJ PULSAR MT 200CC</v>
      </c>
      <c r="I24" s="40"/>
      <c r="J24" s="40"/>
      <c r="K24" s="2"/>
      <c r="M24" s="39"/>
    </row>
    <row r="25" spans="1:13" ht="15" x14ac:dyDescent="0.25">
      <c r="A25" s="2" t="s">
        <v>282</v>
      </c>
      <c r="B25" s="2" t="s">
        <v>379</v>
      </c>
      <c r="C25" s="2" t="s">
        <v>20</v>
      </c>
      <c r="D25" s="40">
        <v>1</v>
      </c>
      <c r="E25" s="2" t="s">
        <v>387</v>
      </c>
      <c r="F25" s="2" t="s">
        <v>409</v>
      </c>
      <c r="G25" s="2" t="s">
        <v>16</v>
      </c>
      <c r="H25" s="40" t="str">
        <f t="shared" si="0"/>
        <v>00317044 AUTECO BAJAJ XCD MT 125CC</v>
      </c>
      <c r="I25" s="40"/>
      <c r="J25" s="40"/>
      <c r="K25" s="2"/>
      <c r="M25" s="39"/>
    </row>
    <row r="26" spans="1:13" ht="15" x14ac:dyDescent="0.25">
      <c r="A26" s="2" t="s">
        <v>283</v>
      </c>
      <c r="B26" s="2" t="s">
        <v>379</v>
      </c>
      <c r="C26" s="2" t="s">
        <v>20</v>
      </c>
      <c r="D26" s="40">
        <v>1</v>
      </c>
      <c r="E26" s="2" t="s">
        <v>387</v>
      </c>
      <c r="F26" s="2" t="s">
        <v>410</v>
      </c>
      <c r="G26" s="2" t="s">
        <v>149</v>
      </c>
      <c r="H26" s="40" t="str">
        <f t="shared" si="0"/>
        <v>00317045 AUTECO BAJAJ PULSAR UG MT 180CC</v>
      </c>
      <c r="I26" s="40"/>
      <c r="J26" s="40"/>
      <c r="K26" s="2"/>
      <c r="M26" s="39"/>
    </row>
    <row r="27" spans="1:13" ht="15" x14ac:dyDescent="0.25">
      <c r="A27" s="2" t="s">
        <v>284</v>
      </c>
      <c r="B27" s="2" t="s">
        <v>379</v>
      </c>
      <c r="C27" s="2" t="s">
        <v>20</v>
      </c>
      <c r="D27" s="40">
        <v>1</v>
      </c>
      <c r="E27" s="2" t="s">
        <v>387</v>
      </c>
      <c r="F27" s="2" t="s">
        <v>411</v>
      </c>
      <c r="G27" s="2" t="s">
        <v>148</v>
      </c>
      <c r="H27" s="40" t="str">
        <f t="shared" si="0"/>
        <v>00317046 AUTECO BAJAJ BOXER BM CLASSIC [1] MT 100CC</v>
      </c>
      <c r="I27" s="40"/>
      <c r="J27" s="40"/>
      <c r="K27" s="2"/>
      <c r="M27" s="39"/>
    </row>
    <row r="28" spans="1:13" ht="15" x14ac:dyDescent="0.25">
      <c r="A28" s="2" t="s">
        <v>285</v>
      </c>
      <c r="B28" s="2" t="s">
        <v>379</v>
      </c>
      <c r="C28" s="2" t="s">
        <v>20</v>
      </c>
      <c r="D28" s="40">
        <v>1</v>
      </c>
      <c r="E28" s="2" t="s">
        <v>387</v>
      </c>
      <c r="F28" s="2" t="s">
        <v>406</v>
      </c>
      <c r="G28" s="2" t="s">
        <v>16</v>
      </c>
      <c r="H28" s="40" t="str">
        <f t="shared" si="0"/>
        <v>00317047 AUTECO BAJAJ PLATINO MT 125CC</v>
      </c>
      <c r="I28" s="40"/>
      <c r="J28" s="40"/>
      <c r="K28" s="2"/>
      <c r="M28" s="39"/>
    </row>
    <row r="29" spans="1:13" ht="15" x14ac:dyDescent="0.25">
      <c r="A29" s="2" t="s">
        <v>286</v>
      </c>
      <c r="B29" s="2" t="s">
        <v>379</v>
      </c>
      <c r="C29" s="2" t="s">
        <v>20</v>
      </c>
      <c r="D29" s="40">
        <v>1</v>
      </c>
      <c r="E29" s="2" t="s">
        <v>387</v>
      </c>
      <c r="F29" s="2" t="s">
        <v>412</v>
      </c>
      <c r="G29" s="2" t="s">
        <v>148</v>
      </c>
      <c r="H29" s="40" t="str">
        <f t="shared" si="0"/>
        <v>00317048 AUTECO BAJAJ DISCOVER [2] MT 100CC</v>
      </c>
      <c r="I29" s="40"/>
      <c r="J29" s="40"/>
      <c r="K29" s="2"/>
      <c r="M29" s="39"/>
    </row>
    <row r="30" spans="1:13" ht="15" x14ac:dyDescent="0.25">
      <c r="A30" s="2" t="s">
        <v>287</v>
      </c>
      <c r="B30" s="2" t="s">
        <v>379</v>
      </c>
      <c r="C30" s="2" t="s">
        <v>20</v>
      </c>
      <c r="D30" s="40">
        <v>1</v>
      </c>
      <c r="E30" s="2" t="s">
        <v>387</v>
      </c>
      <c r="F30" s="2" t="s">
        <v>413</v>
      </c>
      <c r="G30" s="2" t="s">
        <v>16</v>
      </c>
      <c r="H30" s="40" t="str">
        <f t="shared" si="0"/>
        <v>00317049 AUTECO BAJAJ PLATINO 125 5S MT 125CC</v>
      </c>
      <c r="I30" s="40"/>
      <c r="J30" s="40"/>
      <c r="K30" s="2"/>
      <c r="M30" s="39"/>
    </row>
    <row r="31" spans="1:13" ht="15" x14ac:dyDescent="0.25">
      <c r="A31" s="2" t="s">
        <v>288</v>
      </c>
      <c r="B31" s="2" t="s">
        <v>379</v>
      </c>
      <c r="C31" s="2" t="s">
        <v>20</v>
      </c>
      <c r="D31" s="40">
        <v>1</v>
      </c>
      <c r="E31" s="2" t="s">
        <v>387</v>
      </c>
      <c r="F31" s="2" t="s">
        <v>414</v>
      </c>
      <c r="G31" s="2" t="s">
        <v>415</v>
      </c>
      <c r="H31" s="40" t="str">
        <f t="shared" si="0"/>
        <v>00317050 AUTECO BAJAJ PULSAR 220 F MT 220CC</v>
      </c>
      <c r="I31" s="40"/>
      <c r="J31" s="40"/>
      <c r="K31" s="2"/>
      <c r="M31" s="39"/>
    </row>
    <row r="32" spans="1:13" ht="15" x14ac:dyDescent="0.25">
      <c r="A32" s="2" t="s">
        <v>289</v>
      </c>
      <c r="B32" s="2" t="s">
        <v>379</v>
      </c>
      <c r="C32" s="2" t="s">
        <v>20</v>
      </c>
      <c r="D32" s="40">
        <v>1</v>
      </c>
      <c r="E32" s="2" t="s">
        <v>387</v>
      </c>
      <c r="F32" s="2" t="s">
        <v>416</v>
      </c>
      <c r="G32" s="2" t="s">
        <v>168</v>
      </c>
      <c r="H32" s="40" t="str">
        <f t="shared" si="0"/>
        <v>00317051 AUTECO BAJAJ PULSAR 135 LS MT 135CC</v>
      </c>
      <c r="I32" s="40"/>
      <c r="J32" s="40"/>
      <c r="K32" s="2"/>
      <c r="M32" s="39"/>
    </row>
    <row r="33" spans="1:13" ht="15" x14ac:dyDescent="0.25">
      <c r="A33" s="2" t="s">
        <v>290</v>
      </c>
      <c r="B33" s="2" t="s">
        <v>379</v>
      </c>
      <c r="C33" s="2" t="s">
        <v>20</v>
      </c>
      <c r="D33" s="40">
        <v>1</v>
      </c>
      <c r="E33" s="2" t="s">
        <v>387</v>
      </c>
      <c r="F33" s="2" t="s">
        <v>417</v>
      </c>
      <c r="G33" s="2" t="s">
        <v>415</v>
      </c>
      <c r="H33" s="40" t="str">
        <f t="shared" si="0"/>
        <v>00317052 AUTECO BAJAJ PULSAR 220 SPORT MT 220CC</v>
      </c>
      <c r="I33" s="40"/>
      <c r="J33" s="40"/>
      <c r="K33" s="2"/>
      <c r="M33" s="39"/>
    </row>
    <row r="34" spans="1:13" ht="15" x14ac:dyDescent="0.25">
      <c r="A34" s="2" t="s">
        <v>291</v>
      </c>
      <c r="B34" s="2" t="s">
        <v>379</v>
      </c>
      <c r="C34" s="2" t="s">
        <v>20</v>
      </c>
      <c r="D34" s="40">
        <v>1</v>
      </c>
      <c r="E34" s="2" t="s">
        <v>387</v>
      </c>
      <c r="F34" s="2" t="s">
        <v>412</v>
      </c>
      <c r="G34" s="2" t="s">
        <v>16</v>
      </c>
      <c r="H34" s="40" t="str">
        <f t="shared" si="0"/>
        <v>00317053 AUTECO BAJAJ DISCOVER [2] MT 125CC</v>
      </c>
      <c r="I34" s="40"/>
      <c r="J34" s="40"/>
      <c r="K34" s="2"/>
      <c r="M34" s="39"/>
    </row>
    <row r="35" spans="1:13" ht="15" x14ac:dyDescent="0.25">
      <c r="A35" s="2" t="s">
        <v>292</v>
      </c>
      <c r="B35" s="2" t="s">
        <v>379</v>
      </c>
      <c r="C35" s="2" t="s">
        <v>20</v>
      </c>
      <c r="D35" s="40">
        <v>1</v>
      </c>
      <c r="E35" s="2" t="s">
        <v>387</v>
      </c>
      <c r="F35" s="2" t="s">
        <v>418</v>
      </c>
      <c r="G35" s="2" t="s">
        <v>21</v>
      </c>
      <c r="H35" s="40" t="str">
        <f t="shared" si="0"/>
        <v>00317054 AUTECO BAJAJ BOXER BM MT 150CC</v>
      </c>
      <c r="I35" s="40"/>
      <c r="J35" s="40"/>
      <c r="K35" s="2"/>
      <c r="M35" s="39"/>
    </row>
    <row r="36" spans="1:13" ht="15" x14ac:dyDescent="0.25">
      <c r="A36" s="2" t="s">
        <v>293</v>
      </c>
      <c r="B36" s="2" t="s">
        <v>379</v>
      </c>
      <c r="C36" s="2" t="s">
        <v>20</v>
      </c>
      <c r="D36" s="40">
        <v>1</v>
      </c>
      <c r="E36" s="2" t="s">
        <v>387</v>
      </c>
      <c r="F36" s="2" t="s">
        <v>419</v>
      </c>
      <c r="G36" s="2" t="s">
        <v>148</v>
      </c>
      <c r="H36" s="40" t="str">
        <f t="shared" si="0"/>
        <v>00317055 AUTECO BAJAJ BOXER BM CLASSIC [2] MT 100CC</v>
      </c>
      <c r="I36" s="40"/>
      <c r="J36" s="40"/>
      <c r="K36" s="2"/>
      <c r="M36" s="39"/>
    </row>
    <row r="37" spans="1:13" ht="15" x14ac:dyDescent="0.25">
      <c r="A37" s="2" t="s">
        <v>294</v>
      </c>
      <c r="B37" s="2" t="s">
        <v>379</v>
      </c>
      <c r="C37" s="2" t="s">
        <v>20</v>
      </c>
      <c r="D37" s="40">
        <v>1</v>
      </c>
      <c r="E37" s="2" t="s">
        <v>387</v>
      </c>
      <c r="F37" s="2" t="s">
        <v>420</v>
      </c>
      <c r="G37" s="2" t="s">
        <v>16</v>
      </c>
      <c r="H37" s="40" t="str">
        <f t="shared" si="0"/>
        <v>00317056 AUTECO BAJAJ DISCOVER [3] 125 ST MT 125CC</v>
      </c>
      <c r="I37" s="40"/>
      <c r="J37" s="40"/>
      <c r="K37" s="2"/>
      <c r="M37" s="39"/>
    </row>
    <row r="38" spans="1:13" ht="15" x14ac:dyDescent="0.25">
      <c r="A38" s="2" t="s">
        <v>295</v>
      </c>
      <c r="B38" s="2" t="s">
        <v>379</v>
      </c>
      <c r="C38" s="2" t="s">
        <v>20</v>
      </c>
      <c r="D38" s="40">
        <v>1</v>
      </c>
      <c r="E38" s="2" t="s">
        <v>387</v>
      </c>
      <c r="F38" s="2" t="s">
        <v>421</v>
      </c>
      <c r="G38" s="2" t="s">
        <v>7</v>
      </c>
      <c r="H38" s="40" t="str">
        <f t="shared" si="0"/>
        <v>00317057 AUTECO BAJAJ PULSAR 200 NS MT 200CC</v>
      </c>
      <c r="I38" s="40"/>
      <c r="J38" s="40"/>
      <c r="K38" s="2"/>
      <c r="M38" s="39"/>
    </row>
    <row r="39" spans="1:13" ht="15" x14ac:dyDescent="0.25">
      <c r="A39" s="2" t="s">
        <v>296</v>
      </c>
      <c r="B39" s="2" t="s">
        <v>379</v>
      </c>
      <c r="C39" s="2" t="s">
        <v>20</v>
      </c>
      <c r="D39" s="40">
        <v>1</v>
      </c>
      <c r="E39" s="2" t="s">
        <v>387</v>
      </c>
      <c r="F39" s="2" t="s">
        <v>422</v>
      </c>
      <c r="G39" s="2" t="s">
        <v>415</v>
      </c>
      <c r="H39" s="40" t="str">
        <f t="shared" si="0"/>
        <v>00317058 AUTECO BAJAJ AVENGER 220 MT 220CC</v>
      </c>
      <c r="K39" s="2"/>
      <c r="M39" s="39"/>
    </row>
    <row r="40" spans="1:13" ht="15" x14ac:dyDescent="0.25">
      <c r="A40" s="2" t="s">
        <v>297</v>
      </c>
      <c r="B40" s="2" t="s">
        <v>379</v>
      </c>
      <c r="C40" s="2" t="s">
        <v>20</v>
      </c>
      <c r="D40" s="40">
        <v>1</v>
      </c>
      <c r="E40" s="2" t="s">
        <v>387</v>
      </c>
      <c r="F40" s="2" t="s">
        <v>423</v>
      </c>
      <c r="G40" s="2" t="s">
        <v>148</v>
      </c>
      <c r="H40" s="40" t="str">
        <f t="shared" si="0"/>
        <v>00317059 AUTECO BAJAJ DISCOVER 100M MT 100CC</v>
      </c>
      <c r="K40" s="2"/>
      <c r="M40" s="39"/>
    </row>
    <row r="41" spans="1:13" ht="15" x14ac:dyDescent="0.25">
      <c r="A41" s="2" t="s">
        <v>298</v>
      </c>
      <c r="B41" s="2" t="s">
        <v>379</v>
      </c>
      <c r="C41" s="2" t="s">
        <v>20</v>
      </c>
      <c r="D41" s="40">
        <v>1</v>
      </c>
      <c r="E41" s="2" t="s">
        <v>387</v>
      </c>
      <c r="F41" s="2" t="s">
        <v>424</v>
      </c>
      <c r="G41" s="2" t="s">
        <v>415</v>
      </c>
      <c r="H41" s="40" t="str">
        <f t="shared" si="0"/>
        <v>00317060 AUTECO BAJAJ PULSAR 220 SS MT 220CC</v>
      </c>
      <c r="K41" s="2"/>
      <c r="M41" s="39"/>
    </row>
    <row r="42" spans="1:13" ht="15" x14ac:dyDescent="0.25">
      <c r="A42" s="2" t="s">
        <v>299</v>
      </c>
      <c r="B42" s="2" t="s">
        <v>379</v>
      </c>
      <c r="C42" s="2" t="s">
        <v>20</v>
      </c>
      <c r="D42" s="40">
        <v>1</v>
      </c>
      <c r="E42" s="2" t="s">
        <v>387</v>
      </c>
      <c r="F42" s="2" t="s">
        <v>425</v>
      </c>
      <c r="G42" s="2" t="s">
        <v>21</v>
      </c>
      <c r="H42" s="40" t="str">
        <f t="shared" si="0"/>
        <v>00317061 AUTECO BAJAJ DISCOVER [3] 150 ST MT 150CC</v>
      </c>
      <c r="K42" s="2"/>
      <c r="M42" s="39"/>
    </row>
    <row r="43" spans="1:13" ht="15" x14ac:dyDescent="0.25">
      <c r="A43" s="2" t="s">
        <v>300</v>
      </c>
      <c r="B43" s="2" t="s">
        <v>379</v>
      </c>
      <c r="C43" s="2" t="s">
        <v>20</v>
      </c>
      <c r="D43" s="40">
        <v>1</v>
      </c>
      <c r="E43" s="2" t="s">
        <v>387</v>
      </c>
      <c r="F43" s="2" t="s">
        <v>426</v>
      </c>
      <c r="G43" s="2" t="s">
        <v>149</v>
      </c>
      <c r="H43" s="40" t="str">
        <f t="shared" si="0"/>
        <v>00317062 AUTECO BAJAJ PULSAR UG PRO MT 180CC</v>
      </c>
      <c r="K43" s="2"/>
      <c r="M43" s="39"/>
    </row>
    <row r="44" spans="1:13" ht="15" x14ac:dyDescent="0.25">
      <c r="A44" s="2" t="s">
        <v>301</v>
      </c>
      <c r="B44" s="2" t="s">
        <v>379</v>
      </c>
      <c r="C44" s="2" t="s">
        <v>20</v>
      </c>
      <c r="D44" s="40">
        <v>1</v>
      </c>
      <c r="E44" s="2" t="s">
        <v>387</v>
      </c>
      <c r="F44" s="2" t="s">
        <v>427</v>
      </c>
      <c r="G44" s="2" t="s">
        <v>21</v>
      </c>
      <c r="H44" s="40" t="str">
        <f t="shared" si="0"/>
        <v>00317063 AUTECO BAJAJ DISCOVER 150F MT 150CC</v>
      </c>
      <c r="K44" s="2"/>
      <c r="M44" s="39"/>
    </row>
    <row r="45" spans="1:13" ht="15" x14ac:dyDescent="0.25">
      <c r="A45" s="2" t="s">
        <v>302</v>
      </c>
      <c r="B45" s="2" t="s">
        <v>379</v>
      </c>
      <c r="C45" s="2" t="s">
        <v>20</v>
      </c>
      <c r="D45" s="40">
        <v>1</v>
      </c>
      <c r="E45" s="2" t="s">
        <v>387</v>
      </c>
      <c r="F45" s="2" t="s">
        <v>428</v>
      </c>
      <c r="G45" s="2" t="s">
        <v>6</v>
      </c>
      <c r="H45" s="40" t="str">
        <f t="shared" si="0"/>
        <v>00317064 AUTECO BAJAJ PLATINO 110 MT 110CC</v>
      </c>
      <c r="K45" s="2"/>
      <c r="M45" s="39"/>
    </row>
    <row r="46" spans="1:13" ht="15" x14ac:dyDescent="0.25">
      <c r="A46" s="2" t="s">
        <v>303</v>
      </c>
      <c r="B46" s="2" t="s">
        <v>379</v>
      </c>
      <c r="C46" s="2" t="s">
        <v>20</v>
      </c>
      <c r="D46" s="40">
        <v>1</v>
      </c>
      <c r="E46" s="2" t="s">
        <v>387</v>
      </c>
      <c r="F46" s="2" t="s">
        <v>429</v>
      </c>
      <c r="G46" s="2" t="s">
        <v>21</v>
      </c>
      <c r="H46" s="40" t="str">
        <f t="shared" si="0"/>
        <v>00317065 AUTECO BAJAJ PULSAR 150 NS MT 150CC</v>
      </c>
      <c r="I46" s="40"/>
      <c r="J46" s="40"/>
      <c r="K46" s="2"/>
      <c r="M46" s="39"/>
    </row>
    <row r="47" spans="1:13" ht="15" x14ac:dyDescent="0.25">
      <c r="A47" s="2" t="s">
        <v>304</v>
      </c>
      <c r="B47" s="2" t="s">
        <v>379</v>
      </c>
      <c r="C47" s="2" t="s">
        <v>20</v>
      </c>
      <c r="D47" s="40">
        <v>1</v>
      </c>
      <c r="E47" s="2" t="s">
        <v>387</v>
      </c>
      <c r="F47" s="2" t="s">
        <v>430</v>
      </c>
      <c r="G47" s="2" t="s">
        <v>7</v>
      </c>
      <c r="H47" s="40" t="str">
        <f t="shared" si="0"/>
        <v>00317066 AUTECO BAJAJ PULSAR AS 200 MT 200CC</v>
      </c>
      <c r="I47" s="40"/>
      <c r="J47" s="40"/>
      <c r="K47" s="2"/>
      <c r="M47" s="39"/>
    </row>
    <row r="48" spans="1:13" ht="15" x14ac:dyDescent="0.25">
      <c r="A48" s="2" t="s">
        <v>305</v>
      </c>
      <c r="B48" s="2" t="s">
        <v>379</v>
      </c>
      <c r="C48" s="2" t="s">
        <v>20</v>
      </c>
      <c r="D48" s="40">
        <v>1</v>
      </c>
      <c r="E48" s="2" t="s">
        <v>387</v>
      </c>
      <c r="F48" s="2" t="s">
        <v>431</v>
      </c>
      <c r="G48" s="2" t="s">
        <v>7</v>
      </c>
      <c r="H48" s="40" t="str">
        <f t="shared" si="0"/>
        <v>00317067 AUTECO BAJAJ PULSAR RS 200 MT 200CC</v>
      </c>
      <c r="I48" s="40"/>
      <c r="J48" s="40"/>
      <c r="K48" s="2"/>
      <c r="M48" s="39"/>
    </row>
    <row r="49" spans="1:13" ht="15" x14ac:dyDescent="0.25">
      <c r="A49" s="2" t="s">
        <v>306</v>
      </c>
      <c r="B49" s="2" t="s">
        <v>379</v>
      </c>
      <c r="C49" s="2" t="s">
        <v>20</v>
      </c>
      <c r="D49" s="40">
        <v>1</v>
      </c>
      <c r="E49" s="2" t="s">
        <v>387</v>
      </c>
      <c r="F49" s="2" t="s">
        <v>432</v>
      </c>
      <c r="G49" s="2" t="s">
        <v>21</v>
      </c>
      <c r="H49" s="40" t="str">
        <f t="shared" si="0"/>
        <v>00317068 AUTECO BAJAJ PULSAR AS 150 MT 150CC</v>
      </c>
      <c r="I49" s="40"/>
      <c r="J49" s="40"/>
      <c r="K49" s="2"/>
      <c r="M49" s="39"/>
    </row>
    <row r="50" spans="1:13" ht="15" x14ac:dyDescent="0.25">
      <c r="A50" s="2" t="s">
        <v>307</v>
      </c>
      <c r="B50" s="2" t="s">
        <v>379</v>
      </c>
      <c r="C50" s="2" t="s">
        <v>20</v>
      </c>
      <c r="D50" s="40">
        <v>1</v>
      </c>
      <c r="E50" s="2" t="s">
        <v>387</v>
      </c>
      <c r="F50" s="2" t="s">
        <v>433</v>
      </c>
      <c r="G50" s="2" t="s">
        <v>168</v>
      </c>
      <c r="H50" s="40" t="str">
        <f t="shared" si="0"/>
        <v>00317069 AUTECO BAJAJ PULSAR SPEED MT 135CC</v>
      </c>
      <c r="I50" s="40"/>
      <c r="J50" s="40"/>
      <c r="K50" s="2"/>
      <c r="M50" s="39"/>
    </row>
    <row r="51" spans="1:13" ht="15" x14ac:dyDescent="0.25">
      <c r="A51" s="2" t="s">
        <v>308</v>
      </c>
      <c r="B51" s="2" t="s">
        <v>379</v>
      </c>
      <c r="C51" s="2" t="s">
        <v>20</v>
      </c>
      <c r="D51" s="40">
        <v>1</v>
      </c>
      <c r="E51" s="2" t="s">
        <v>387</v>
      </c>
      <c r="F51" s="2" t="s">
        <v>434</v>
      </c>
      <c r="G51" s="2" t="s">
        <v>21</v>
      </c>
      <c r="H51" s="40" t="str">
        <f t="shared" si="0"/>
        <v>00317070 AUTECO BAJAJ PULSAR 150 MT 150CC</v>
      </c>
      <c r="I51" s="40"/>
      <c r="J51" s="40"/>
      <c r="K51" s="2"/>
      <c r="M51" s="39"/>
    </row>
    <row r="52" spans="1:13" ht="15" x14ac:dyDescent="0.25">
      <c r="A52" s="2" t="s">
        <v>479</v>
      </c>
      <c r="B52" s="2" t="s">
        <v>379</v>
      </c>
      <c r="C52" s="2" t="s">
        <v>20</v>
      </c>
      <c r="D52" s="40">
        <v>1</v>
      </c>
      <c r="E52" s="2" t="s">
        <v>387</v>
      </c>
      <c r="F52" s="2" t="s">
        <v>507</v>
      </c>
      <c r="G52" s="2" t="s">
        <v>194</v>
      </c>
      <c r="H52" s="40" t="str">
        <f t="shared" si="0"/>
        <v>00317071 AUTECO BAJAJ PULSAR 160 NS MT 160CC</v>
      </c>
      <c r="I52" s="40"/>
      <c r="J52" s="40"/>
      <c r="K52" s="2"/>
      <c r="M52" s="39"/>
    </row>
    <row r="53" spans="1:13" ht="15" x14ac:dyDescent="0.25">
      <c r="A53" s="2" t="s">
        <v>480</v>
      </c>
      <c r="B53" s="2" t="s">
        <v>379</v>
      </c>
      <c r="C53" s="2" t="s">
        <v>20</v>
      </c>
      <c r="D53" s="40">
        <v>1</v>
      </c>
      <c r="E53" s="2" t="s">
        <v>387</v>
      </c>
      <c r="F53" s="2" t="s">
        <v>508</v>
      </c>
      <c r="G53" s="2" t="s">
        <v>7</v>
      </c>
      <c r="H53" s="40" t="str">
        <f t="shared" si="0"/>
        <v>00317072 AUTECO BAJAJ PULSAR 200 NS FI MT 200CC</v>
      </c>
      <c r="I53" s="40"/>
      <c r="J53" s="40"/>
      <c r="K53" s="2"/>
      <c r="M53" s="39"/>
    </row>
    <row r="54" spans="1:13" ht="15" x14ac:dyDescent="0.25">
      <c r="A54" s="2" t="s">
        <v>309</v>
      </c>
      <c r="B54" s="2" t="s">
        <v>379</v>
      </c>
      <c r="C54" s="2" t="s">
        <v>147</v>
      </c>
      <c r="D54" s="40">
        <v>1</v>
      </c>
      <c r="E54" s="2" t="s">
        <v>435</v>
      </c>
      <c r="F54" s="2" t="s">
        <v>150</v>
      </c>
      <c r="G54" s="2" t="s">
        <v>21</v>
      </c>
      <c r="H54" s="40" t="str">
        <f t="shared" si="0"/>
        <v>00319001 AUTECO PICK-UP VAN 150 MT 150CC</v>
      </c>
      <c r="I54" s="40"/>
      <c r="J54" s="40"/>
      <c r="K54" s="2"/>
      <c r="M54" s="39"/>
    </row>
    <row r="55" spans="1:13" ht="15" x14ac:dyDescent="0.25">
      <c r="A55" s="2" t="s">
        <v>481</v>
      </c>
      <c r="B55" s="2" t="s">
        <v>379</v>
      </c>
      <c r="C55" s="2" t="s">
        <v>147</v>
      </c>
      <c r="D55" s="40">
        <v>1</v>
      </c>
      <c r="E55" s="2" t="s">
        <v>436</v>
      </c>
      <c r="F55" s="2" t="s">
        <v>509</v>
      </c>
      <c r="G55" s="2" t="s">
        <v>510</v>
      </c>
      <c r="H55" s="40" t="str">
        <f t="shared" si="0"/>
        <v>00319002 AUTECO CAMELLITO 175 MT 175CC</v>
      </c>
      <c r="I55" s="40"/>
      <c r="J55" s="40"/>
      <c r="K55" s="2"/>
      <c r="M55" s="39"/>
    </row>
    <row r="56" spans="1:13" ht="15" x14ac:dyDescent="0.25">
      <c r="A56" s="2" t="s">
        <v>482</v>
      </c>
      <c r="B56" s="2" t="s">
        <v>379</v>
      </c>
      <c r="C56" s="2" t="s">
        <v>147</v>
      </c>
      <c r="D56" s="40">
        <v>1</v>
      </c>
      <c r="E56" s="2" t="s">
        <v>435</v>
      </c>
      <c r="F56" s="2" t="s">
        <v>509</v>
      </c>
      <c r="G56" s="2" t="s">
        <v>510</v>
      </c>
      <c r="H56" s="40" t="str">
        <f t="shared" si="0"/>
        <v>00319003 AUTECO PICK-UP VAN 175 MT 175CC</v>
      </c>
      <c r="I56" s="40"/>
      <c r="J56" s="40"/>
      <c r="K56" s="2"/>
      <c r="M56" s="39"/>
    </row>
    <row r="57" spans="1:13" ht="15" x14ac:dyDescent="0.25">
      <c r="A57" s="2" t="s">
        <v>483</v>
      </c>
      <c r="B57" s="2" t="s">
        <v>379</v>
      </c>
      <c r="C57" s="2" t="s">
        <v>147</v>
      </c>
      <c r="D57" s="40">
        <v>1</v>
      </c>
      <c r="E57" s="2" t="s">
        <v>436</v>
      </c>
      <c r="F57" s="2" t="s">
        <v>511</v>
      </c>
      <c r="G57" s="2" t="s">
        <v>510</v>
      </c>
      <c r="H57" s="40" t="str">
        <f t="shared" si="0"/>
        <v>00319005 AUTECO CAMELLITO FURGON [ASL] MT 175CC</v>
      </c>
      <c r="I57" s="40"/>
      <c r="J57" s="40"/>
      <c r="K57" s="2"/>
      <c r="M57" s="39"/>
    </row>
    <row r="58" spans="1:13" ht="15" x14ac:dyDescent="0.25">
      <c r="A58" s="2" t="s">
        <v>484</v>
      </c>
      <c r="B58" s="2" t="s">
        <v>379</v>
      </c>
      <c r="C58" s="2" t="s">
        <v>147</v>
      </c>
      <c r="D58" s="40">
        <v>1</v>
      </c>
      <c r="E58" s="2" t="s">
        <v>436</v>
      </c>
      <c r="F58" s="2" t="s">
        <v>512</v>
      </c>
      <c r="G58" s="2" t="s">
        <v>510</v>
      </c>
      <c r="H58" s="40" t="str">
        <f t="shared" si="0"/>
        <v>00319006 AUTECO CAMELLITO FURGON MT 175CC</v>
      </c>
      <c r="I58" s="40"/>
      <c r="J58" s="40"/>
      <c r="K58" s="2"/>
      <c r="M58" s="39"/>
    </row>
    <row r="59" spans="1:13" ht="15" x14ac:dyDescent="0.25">
      <c r="A59" s="2" t="s">
        <v>485</v>
      </c>
      <c r="B59" s="2" t="s">
        <v>379</v>
      </c>
      <c r="C59" s="2" t="s">
        <v>147</v>
      </c>
      <c r="D59" s="40">
        <v>1</v>
      </c>
      <c r="E59" s="2" t="s">
        <v>436</v>
      </c>
      <c r="F59" s="2" t="s">
        <v>513</v>
      </c>
      <c r="G59" s="2" t="s">
        <v>510</v>
      </c>
      <c r="H59" s="40" t="str">
        <f t="shared" si="0"/>
        <v>00319007 AUTECO CAMELLITO WILLYS MT 175CC</v>
      </c>
      <c r="I59" s="40"/>
      <c r="J59" s="40"/>
      <c r="K59" s="2"/>
      <c r="M59" s="39"/>
    </row>
    <row r="60" spans="1:13" ht="15" x14ac:dyDescent="0.25">
      <c r="A60" s="2" t="s">
        <v>486</v>
      </c>
      <c r="B60" s="2" t="s">
        <v>379</v>
      </c>
      <c r="C60" s="2" t="s">
        <v>147</v>
      </c>
      <c r="D60" s="40">
        <v>1</v>
      </c>
      <c r="E60" s="2" t="s">
        <v>436</v>
      </c>
      <c r="F60" s="2" t="s">
        <v>514</v>
      </c>
      <c r="G60" s="2" t="s">
        <v>510</v>
      </c>
      <c r="H60" s="40" t="str">
        <f t="shared" si="0"/>
        <v>00319008 AUTECO CAMELLITO CHIVA MT 175CC</v>
      </c>
      <c r="I60" s="40"/>
      <c r="J60" s="40"/>
      <c r="K60" s="2"/>
      <c r="M60" s="39"/>
    </row>
    <row r="61" spans="1:13" ht="15" x14ac:dyDescent="0.25">
      <c r="A61" s="2" t="s">
        <v>487</v>
      </c>
      <c r="B61" s="2" t="s">
        <v>379</v>
      </c>
      <c r="C61" s="2" t="s">
        <v>147</v>
      </c>
      <c r="D61" s="40">
        <v>1</v>
      </c>
      <c r="E61" s="2" t="s">
        <v>436</v>
      </c>
      <c r="F61" s="2" t="s">
        <v>515</v>
      </c>
      <c r="G61" s="2" t="s">
        <v>510</v>
      </c>
      <c r="H61" s="40" t="str">
        <f t="shared" si="0"/>
        <v>00319009 AUTECO CAMELLITO CHASIS MT 175CC</v>
      </c>
      <c r="I61" s="40"/>
      <c r="J61" s="40"/>
      <c r="K61" s="2"/>
      <c r="M61" s="39"/>
    </row>
    <row r="62" spans="1:13" ht="15" x14ac:dyDescent="0.25">
      <c r="A62" s="2" t="s">
        <v>488</v>
      </c>
      <c r="B62" s="2" t="s">
        <v>379</v>
      </c>
      <c r="C62" s="2" t="s">
        <v>147</v>
      </c>
      <c r="D62" s="40">
        <v>1</v>
      </c>
      <c r="E62" s="2" t="s">
        <v>436</v>
      </c>
      <c r="F62" s="2" t="s">
        <v>516</v>
      </c>
      <c r="G62" s="2" t="s">
        <v>510</v>
      </c>
      <c r="H62" s="40" t="str">
        <f t="shared" si="0"/>
        <v>00319010 AUTECO CAMELLITO ESTACAS MT 175CC</v>
      </c>
      <c r="I62" s="40"/>
      <c r="J62" s="40"/>
      <c r="K62" s="2"/>
      <c r="M62" s="39"/>
    </row>
    <row r="63" spans="1:13" ht="15" x14ac:dyDescent="0.25">
      <c r="A63" s="2" t="s">
        <v>489</v>
      </c>
      <c r="B63" s="2" t="s">
        <v>379</v>
      </c>
      <c r="C63" s="2" t="s">
        <v>147</v>
      </c>
      <c r="D63" s="40">
        <v>1</v>
      </c>
      <c r="E63" s="2" t="s">
        <v>436</v>
      </c>
      <c r="F63" s="2" t="s">
        <v>517</v>
      </c>
      <c r="G63" s="2" t="s">
        <v>510</v>
      </c>
      <c r="H63" s="40" t="str">
        <f t="shared" si="0"/>
        <v>00319011 AUTECO CAMELLITO ESTACAS ALUMINIO MT 175CC</v>
      </c>
      <c r="I63" s="40"/>
      <c r="J63" s="40"/>
      <c r="K63" s="2"/>
      <c r="M63" s="39"/>
    </row>
    <row r="64" spans="1:13" ht="15" x14ac:dyDescent="0.25">
      <c r="A64" s="2" t="s">
        <v>490</v>
      </c>
      <c r="B64" s="2" t="s">
        <v>379</v>
      </c>
      <c r="C64" s="2" t="s">
        <v>147</v>
      </c>
      <c r="D64" s="40">
        <v>1</v>
      </c>
      <c r="E64" s="2" t="s">
        <v>436</v>
      </c>
      <c r="F64" s="2" t="s">
        <v>518</v>
      </c>
      <c r="G64" s="2" t="s">
        <v>510</v>
      </c>
      <c r="H64" s="40" t="str">
        <f t="shared" si="0"/>
        <v>00319012 AUTECO CAMELLITO FURGON ALUMINIO MT 175CC</v>
      </c>
      <c r="I64" s="40"/>
      <c r="J64" s="40"/>
      <c r="K64" s="2"/>
      <c r="M64" s="39"/>
    </row>
    <row r="65" spans="1:13" ht="15" x14ac:dyDescent="0.25">
      <c r="A65" s="2" t="s">
        <v>491</v>
      </c>
      <c r="B65" s="2" t="s">
        <v>379</v>
      </c>
      <c r="C65" s="2" t="s">
        <v>147</v>
      </c>
      <c r="D65" s="40">
        <v>1</v>
      </c>
      <c r="E65" s="2" t="s">
        <v>436</v>
      </c>
      <c r="F65" s="2" t="s">
        <v>519</v>
      </c>
      <c r="G65" s="2" t="s">
        <v>510</v>
      </c>
      <c r="H65" s="40" t="str">
        <f t="shared" si="0"/>
        <v>00319013 AUTECO CAMELLITO REPARTO MT 175CC</v>
      </c>
      <c r="I65" s="40"/>
      <c r="J65" s="40"/>
      <c r="K65" s="2"/>
      <c r="M65" s="39"/>
    </row>
    <row r="66" spans="1:13" ht="15" x14ac:dyDescent="0.25">
      <c r="A66" s="2" t="s">
        <v>310</v>
      </c>
      <c r="B66" s="2" t="s">
        <v>379</v>
      </c>
      <c r="C66" s="2" t="s">
        <v>147</v>
      </c>
      <c r="D66" s="40">
        <v>1</v>
      </c>
      <c r="E66" s="2" t="s">
        <v>436</v>
      </c>
      <c r="F66" s="2" t="s">
        <v>437</v>
      </c>
      <c r="G66" s="2" t="s">
        <v>438</v>
      </c>
      <c r="H66" s="40" t="str">
        <f t="shared" ref="H66:H128" si="1">CONCATENATE(A66, " ",B66," ",E66," ",F66," ",G66)</f>
        <v>00319015 AUTECO CAMELLITO RE205 D C. ESPECIAL MT 199CC</v>
      </c>
      <c r="I66" s="40"/>
      <c r="J66" s="40"/>
      <c r="K66" s="2"/>
      <c r="M66" s="39"/>
    </row>
    <row r="67" spans="1:13" ht="15" x14ac:dyDescent="0.25">
      <c r="A67" s="2" t="s">
        <v>311</v>
      </c>
      <c r="B67" s="2" t="s">
        <v>379</v>
      </c>
      <c r="C67" s="2" t="s">
        <v>147</v>
      </c>
      <c r="D67" s="40">
        <v>1</v>
      </c>
      <c r="E67" s="2" t="s">
        <v>436</v>
      </c>
      <c r="F67" s="2" t="s">
        <v>439</v>
      </c>
      <c r="G67" s="2" t="s">
        <v>438</v>
      </c>
      <c r="H67" s="40" t="str">
        <f t="shared" si="1"/>
        <v>00319016 AUTECO CAMELLITO RE205 D WILLIS MT 199CC</v>
      </c>
      <c r="I67" s="40"/>
      <c r="J67" s="40"/>
      <c r="K67" s="2"/>
      <c r="M67" s="39"/>
    </row>
    <row r="68" spans="1:13" ht="15" x14ac:dyDescent="0.25">
      <c r="A68" s="2" t="s">
        <v>312</v>
      </c>
      <c r="B68" s="2" t="s">
        <v>379</v>
      </c>
      <c r="C68" s="2" t="s">
        <v>147</v>
      </c>
      <c r="D68" s="40">
        <v>1</v>
      </c>
      <c r="E68" s="2" t="s">
        <v>436</v>
      </c>
      <c r="F68" s="2" t="s">
        <v>440</v>
      </c>
      <c r="G68" s="2" t="s">
        <v>438</v>
      </c>
      <c r="H68" s="40" t="str">
        <f t="shared" si="1"/>
        <v>00319017 AUTECO CAMELLITO RE205 D BASICO MT 199CC</v>
      </c>
      <c r="I68" s="40"/>
      <c r="J68" s="40"/>
      <c r="K68" s="2"/>
      <c r="M68" s="39"/>
    </row>
    <row r="69" spans="1:13" ht="15" x14ac:dyDescent="0.25">
      <c r="A69" s="2" t="s">
        <v>313</v>
      </c>
      <c r="B69" s="2" t="s">
        <v>379</v>
      </c>
      <c r="C69" s="2" t="s">
        <v>147</v>
      </c>
      <c r="D69" s="40">
        <v>1</v>
      </c>
      <c r="E69" s="2" t="s">
        <v>436</v>
      </c>
      <c r="F69" s="2" t="s">
        <v>441</v>
      </c>
      <c r="G69" s="2" t="s">
        <v>438</v>
      </c>
      <c r="H69" s="40" t="str">
        <f t="shared" si="1"/>
        <v>00319019 AUTECO CAMELLITO RE205 D FURGON MT 199CC</v>
      </c>
      <c r="I69" s="40"/>
      <c r="J69" s="40"/>
      <c r="K69" s="2"/>
      <c r="M69" s="39"/>
    </row>
    <row r="70" spans="1:13" ht="15" x14ac:dyDescent="0.25">
      <c r="A70" s="2" t="s">
        <v>314</v>
      </c>
      <c r="B70" s="2" t="s">
        <v>379</v>
      </c>
      <c r="C70" s="2" t="s">
        <v>147</v>
      </c>
      <c r="D70" s="40">
        <v>1</v>
      </c>
      <c r="E70" s="2" t="s">
        <v>442</v>
      </c>
      <c r="F70" s="2" t="s">
        <v>440</v>
      </c>
      <c r="G70" s="2" t="s">
        <v>438</v>
      </c>
      <c r="H70" s="40" t="str">
        <f t="shared" si="1"/>
        <v>00319020 AUTECO TORITO RE205 D BASICO MT 199CC</v>
      </c>
      <c r="I70" s="40"/>
      <c r="J70" s="40"/>
      <c r="K70" s="2"/>
      <c r="M70" s="39"/>
    </row>
    <row r="71" spans="1:13" ht="15" x14ac:dyDescent="0.25">
      <c r="A71" s="2" t="s">
        <v>315</v>
      </c>
      <c r="B71" s="2" t="s">
        <v>380</v>
      </c>
      <c r="C71" s="40" t="s">
        <v>20</v>
      </c>
      <c r="D71" s="40">
        <v>1</v>
      </c>
      <c r="E71" s="2" t="s">
        <v>179</v>
      </c>
      <c r="F71" s="2" t="s">
        <v>164</v>
      </c>
      <c r="G71" s="2" t="s">
        <v>148</v>
      </c>
      <c r="H71" s="40" t="str">
        <f t="shared" si="1"/>
        <v>04517006 KAWASAKI XL 100 MT 100CC</v>
      </c>
      <c r="I71" s="40"/>
      <c r="J71" s="40"/>
      <c r="K71" s="2"/>
      <c r="M71" s="39"/>
    </row>
    <row r="72" spans="1:13" ht="15" x14ac:dyDescent="0.25">
      <c r="A72" s="2" t="s">
        <v>316</v>
      </c>
      <c r="B72" s="2" t="s">
        <v>380</v>
      </c>
      <c r="C72" s="40" t="s">
        <v>20</v>
      </c>
      <c r="D72" s="40">
        <v>1</v>
      </c>
      <c r="E72" s="2" t="s">
        <v>179</v>
      </c>
      <c r="F72" s="2" t="s">
        <v>15</v>
      </c>
      <c r="G72" s="2" t="s">
        <v>16</v>
      </c>
      <c r="H72" s="40" t="str">
        <f t="shared" si="1"/>
        <v>04517012 KAWASAKI XL 125 MT 125CC</v>
      </c>
      <c r="I72" s="40"/>
      <c r="J72" s="40"/>
      <c r="K72" s="2"/>
      <c r="M72" s="39"/>
    </row>
    <row r="73" spans="1:13" ht="15" x14ac:dyDescent="0.25">
      <c r="A73" s="2" t="s">
        <v>317</v>
      </c>
      <c r="B73" s="2" t="s">
        <v>380</v>
      </c>
      <c r="C73" s="40" t="s">
        <v>20</v>
      </c>
      <c r="D73" s="40">
        <v>1</v>
      </c>
      <c r="E73" s="2" t="s">
        <v>179</v>
      </c>
      <c r="F73" s="2" t="s">
        <v>180</v>
      </c>
      <c r="G73" s="2" t="s">
        <v>181</v>
      </c>
      <c r="H73" s="40" t="str">
        <f t="shared" si="1"/>
        <v>04517015 KAWASAKI XL 185 MT 185CC</v>
      </c>
      <c r="I73" s="40"/>
      <c r="J73" s="40"/>
      <c r="K73" s="2"/>
      <c r="M73" s="39"/>
    </row>
    <row r="74" spans="1:13" ht="15" x14ac:dyDescent="0.25">
      <c r="A74" s="2" t="s">
        <v>318</v>
      </c>
      <c r="B74" s="2" t="s">
        <v>380</v>
      </c>
      <c r="C74" s="40" t="s">
        <v>20</v>
      </c>
      <c r="D74" s="40">
        <v>1</v>
      </c>
      <c r="E74" s="2" t="s">
        <v>182</v>
      </c>
      <c r="F74" s="2" t="s">
        <v>171</v>
      </c>
      <c r="G74" s="2" t="s">
        <v>183</v>
      </c>
      <c r="H74" s="40" t="str">
        <f t="shared" si="1"/>
        <v>04517021 KAWASAKI XLR 250 MT 250CC</v>
      </c>
      <c r="I74" s="40"/>
      <c r="J74" s="40"/>
      <c r="K74" s="2"/>
      <c r="M74" s="39"/>
    </row>
    <row r="75" spans="1:13" ht="15" x14ac:dyDescent="0.25">
      <c r="A75" s="2" t="s">
        <v>492</v>
      </c>
      <c r="B75" s="2" t="s">
        <v>380</v>
      </c>
      <c r="C75" s="40" t="s">
        <v>20</v>
      </c>
      <c r="D75" s="40">
        <v>1</v>
      </c>
      <c r="E75" s="2" t="s">
        <v>184</v>
      </c>
      <c r="F75" s="2" t="s">
        <v>185</v>
      </c>
      <c r="G75" s="2" t="s">
        <v>7</v>
      </c>
      <c r="H75" s="40" t="str">
        <f t="shared" si="1"/>
        <v>04517025 KAWASAKI XR 200R MT 200CC</v>
      </c>
      <c r="I75" s="40"/>
      <c r="J75" s="40"/>
      <c r="K75" s="2"/>
      <c r="M75" s="39"/>
    </row>
    <row r="76" spans="1:13" ht="15" x14ac:dyDescent="0.25">
      <c r="A76" s="2" t="s">
        <v>319</v>
      </c>
      <c r="B76" s="2" t="s">
        <v>380</v>
      </c>
      <c r="C76" s="40" t="s">
        <v>20</v>
      </c>
      <c r="D76" s="40">
        <v>1</v>
      </c>
      <c r="E76" s="2" t="s">
        <v>184</v>
      </c>
      <c r="F76" s="2" t="s">
        <v>186</v>
      </c>
      <c r="G76" s="2" t="s">
        <v>183</v>
      </c>
      <c r="H76" s="40" t="str">
        <f t="shared" si="1"/>
        <v>04517033 KAWASAKI XR 250 [TORNADO] MT 250CC</v>
      </c>
      <c r="I76" s="40"/>
      <c r="J76" s="40"/>
      <c r="K76" s="2"/>
      <c r="M76" s="39"/>
    </row>
    <row r="77" spans="1:13" ht="15" x14ac:dyDescent="0.25">
      <c r="A77" s="2" t="s">
        <v>320</v>
      </c>
      <c r="B77" s="2" t="s">
        <v>380</v>
      </c>
      <c r="C77" s="40" t="s">
        <v>20</v>
      </c>
      <c r="D77" s="40">
        <v>1</v>
      </c>
      <c r="E77" s="2" t="s">
        <v>187</v>
      </c>
      <c r="F77" s="2" t="s">
        <v>188</v>
      </c>
      <c r="G77" s="2" t="s">
        <v>16</v>
      </c>
      <c r="H77" s="40" t="str">
        <f t="shared" si="1"/>
        <v>04517060 KAWASAKI NXR 125 [BROS] MT 125CC</v>
      </c>
      <c r="I77" s="40"/>
      <c r="J77" s="40"/>
      <c r="K77" s="2"/>
      <c r="M77" s="39"/>
    </row>
    <row r="78" spans="1:13" ht="15" x14ac:dyDescent="0.25">
      <c r="A78" s="2" t="s">
        <v>321</v>
      </c>
      <c r="B78" s="2" t="s">
        <v>380</v>
      </c>
      <c r="C78" s="40" t="s">
        <v>20</v>
      </c>
      <c r="D78" s="40">
        <v>1</v>
      </c>
      <c r="E78" s="2" t="s">
        <v>189</v>
      </c>
      <c r="F78" s="2" t="s">
        <v>15</v>
      </c>
      <c r="G78" s="2" t="s">
        <v>16</v>
      </c>
      <c r="H78" s="40" t="str">
        <f t="shared" si="1"/>
        <v>04517061 KAWASAKI E STORM 125 MT 125CC</v>
      </c>
      <c r="I78" s="40"/>
      <c r="J78" s="40"/>
      <c r="K78" s="2"/>
      <c r="M78" s="39"/>
    </row>
    <row r="79" spans="1:13" ht="15" x14ac:dyDescent="0.25">
      <c r="A79" s="2" t="s">
        <v>322</v>
      </c>
      <c r="B79" s="2" t="s">
        <v>380</v>
      </c>
      <c r="C79" s="40" t="s">
        <v>20</v>
      </c>
      <c r="D79" s="40">
        <v>1</v>
      </c>
      <c r="E79" s="2" t="s">
        <v>190</v>
      </c>
      <c r="F79" s="2" t="s">
        <v>191</v>
      </c>
      <c r="G79" s="2" t="s">
        <v>148</v>
      </c>
      <c r="H79" s="40" t="str">
        <f t="shared" si="1"/>
        <v>04517062 KAWASAKI C100 100 [WAVE] MT 100CC</v>
      </c>
      <c r="I79" s="40"/>
      <c r="J79" s="40"/>
      <c r="K79" s="2"/>
      <c r="M79" s="39"/>
    </row>
    <row r="80" spans="1:13" ht="15" x14ac:dyDescent="0.25">
      <c r="A80" s="2" t="s">
        <v>323</v>
      </c>
      <c r="B80" s="2" t="s">
        <v>380</v>
      </c>
      <c r="C80" s="40" t="s">
        <v>20</v>
      </c>
      <c r="D80" s="40">
        <v>1</v>
      </c>
      <c r="E80" s="2" t="s">
        <v>182</v>
      </c>
      <c r="F80" s="2" t="s">
        <v>15</v>
      </c>
      <c r="G80" s="2" t="s">
        <v>16</v>
      </c>
      <c r="H80" s="40" t="str">
        <f t="shared" si="1"/>
        <v>04517065 KAWASAKI XLR 125 MT 125CC</v>
      </c>
      <c r="I80" s="40"/>
      <c r="J80" s="40"/>
      <c r="K80" s="2"/>
      <c r="M80" s="39"/>
    </row>
    <row r="81" spans="1:13" ht="15" x14ac:dyDescent="0.25">
      <c r="A81" s="2" t="s">
        <v>324</v>
      </c>
      <c r="B81" s="2" t="s">
        <v>380</v>
      </c>
      <c r="C81" s="40" t="s">
        <v>20</v>
      </c>
      <c r="D81" s="40">
        <v>1</v>
      </c>
      <c r="E81" s="2" t="s">
        <v>192</v>
      </c>
      <c r="F81" s="2" t="s">
        <v>193</v>
      </c>
      <c r="G81" s="2" t="s">
        <v>194</v>
      </c>
      <c r="H81" s="40" t="str">
        <f t="shared" si="1"/>
        <v>04517068 KAWASAKI CBZ 160 ES MT 160CC</v>
      </c>
      <c r="I81" s="40"/>
      <c r="J81" s="40"/>
      <c r="K81" s="2"/>
      <c r="M81" s="39"/>
    </row>
    <row r="82" spans="1:13" ht="15" x14ac:dyDescent="0.25">
      <c r="A82" s="2" t="s">
        <v>325</v>
      </c>
      <c r="B82" s="2" t="s">
        <v>380</v>
      </c>
      <c r="C82" s="40" t="s">
        <v>20</v>
      </c>
      <c r="D82" s="40">
        <v>1</v>
      </c>
      <c r="E82" s="2" t="s">
        <v>179</v>
      </c>
      <c r="F82" s="2" t="s">
        <v>195</v>
      </c>
      <c r="G82" s="2" t="s">
        <v>7</v>
      </c>
      <c r="H82" s="40" t="str">
        <f t="shared" si="1"/>
        <v>04517071 KAWASAKI XL 200 MT 200CC</v>
      </c>
      <c r="I82" s="40"/>
      <c r="J82" s="40"/>
      <c r="K82" s="2"/>
      <c r="M82" s="39"/>
    </row>
    <row r="83" spans="1:13" ht="15" x14ac:dyDescent="0.25">
      <c r="A83" s="2" t="s">
        <v>326</v>
      </c>
      <c r="B83" s="2" t="s">
        <v>380</v>
      </c>
      <c r="C83" s="40" t="s">
        <v>20</v>
      </c>
      <c r="D83" s="40">
        <v>1</v>
      </c>
      <c r="E83" s="2" t="s">
        <v>196</v>
      </c>
      <c r="F83" s="2" t="s">
        <v>15</v>
      </c>
      <c r="G83" s="2" t="s">
        <v>14</v>
      </c>
      <c r="H83" s="40" t="str">
        <f t="shared" si="1"/>
        <v>04517072 KAWASAKI ELITE 125 AT 125CC</v>
      </c>
      <c r="I83" s="40"/>
      <c r="J83" s="40"/>
      <c r="K83" s="2"/>
      <c r="M83" s="39"/>
    </row>
    <row r="84" spans="1:13" ht="15" x14ac:dyDescent="0.25">
      <c r="A84" s="2" t="s">
        <v>493</v>
      </c>
      <c r="B84" s="2" t="s">
        <v>380</v>
      </c>
      <c r="C84" s="40" t="s">
        <v>20</v>
      </c>
      <c r="D84" s="40">
        <v>1</v>
      </c>
      <c r="E84" s="2" t="s">
        <v>197</v>
      </c>
      <c r="F84" s="2" t="s">
        <v>198</v>
      </c>
      <c r="G84" s="2" t="s">
        <v>167</v>
      </c>
      <c r="H84" s="40" t="str">
        <f t="shared" si="1"/>
        <v>04517073 KAWASAKI C90 90 MT 90CC</v>
      </c>
      <c r="I84" s="40"/>
      <c r="J84" s="40"/>
      <c r="K84" s="2"/>
      <c r="M84" s="39"/>
    </row>
    <row r="85" spans="1:13" ht="15" x14ac:dyDescent="0.25">
      <c r="A85" s="2" t="s">
        <v>327</v>
      </c>
      <c r="B85" s="2" t="s">
        <v>380</v>
      </c>
      <c r="C85" s="40" t="s">
        <v>20</v>
      </c>
      <c r="D85" s="40">
        <v>1</v>
      </c>
      <c r="E85" s="2" t="s">
        <v>199</v>
      </c>
      <c r="F85" s="2" t="s">
        <v>15</v>
      </c>
      <c r="G85" s="2" t="s">
        <v>16</v>
      </c>
      <c r="H85" s="40" t="str">
        <f t="shared" si="1"/>
        <v>04517075 KAWASAKI SUPER SPLENDOR 125 MT 125CC</v>
      </c>
      <c r="I85" s="40"/>
      <c r="J85" s="40"/>
      <c r="K85" s="2"/>
      <c r="M85" s="39"/>
    </row>
    <row r="86" spans="1:13" ht="15" x14ac:dyDescent="0.25">
      <c r="A86" s="2" t="s">
        <v>328</v>
      </c>
      <c r="B86" s="2" t="s">
        <v>380</v>
      </c>
      <c r="C86" s="40" t="s">
        <v>20</v>
      </c>
      <c r="D86" s="40">
        <v>1</v>
      </c>
      <c r="E86" s="2" t="s">
        <v>200</v>
      </c>
      <c r="F86" s="2" t="s">
        <v>201</v>
      </c>
      <c r="G86" s="2" t="s">
        <v>148</v>
      </c>
      <c r="H86" s="40" t="str">
        <f t="shared" si="1"/>
        <v>04517079 KAWASAKI SPLENDOR FT MT 100CC</v>
      </c>
      <c r="I86" s="40"/>
      <c r="J86" s="40"/>
      <c r="K86" s="2"/>
      <c r="M86" s="39"/>
    </row>
    <row r="87" spans="1:13" ht="15" x14ac:dyDescent="0.25">
      <c r="A87" s="2" t="s">
        <v>329</v>
      </c>
      <c r="B87" s="2" t="s">
        <v>380</v>
      </c>
      <c r="C87" s="40" t="s">
        <v>20</v>
      </c>
      <c r="D87" s="40">
        <v>1</v>
      </c>
      <c r="E87" s="2" t="s">
        <v>202</v>
      </c>
      <c r="F87" s="2" t="s">
        <v>203</v>
      </c>
      <c r="G87" s="2" t="s">
        <v>16</v>
      </c>
      <c r="H87" s="40" t="str">
        <f t="shared" si="1"/>
        <v>04517087 KAWASAKI BIZ 125 ES MT 125CC</v>
      </c>
      <c r="I87" s="40"/>
      <c r="J87" s="40"/>
      <c r="K87" s="2"/>
      <c r="M87" s="39"/>
    </row>
    <row r="88" spans="1:13" ht="15" x14ac:dyDescent="0.25">
      <c r="A88" s="2" t="s">
        <v>330</v>
      </c>
      <c r="B88" s="2" t="s">
        <v>380</v>
      </c>
      <c r="C88" s="40" t="s">
        <v>20</v>
      </c>
      <c r="D88" s="40">
        <v>1</v>
      </c>
      <c r="E88" s="2" t="s">
        <v>204</v>
      </c>
      <c r="F88" s="2" t="s">
        <v>171</v>
      </c>
      <c r="G88" s="2" t="s">
        <v>172</v>
      </c>
      <c r="H88" s="40" t="str">
        <f t="shared" si="1"/>
        <v>04517092 KAWASAKI CH 250 AT 250CC</v>
      </c>
      <c r="I88" s="40"/>
      <c r="J88" s="40"/>
      <c r="K88" s="2"/>
      <c r="M88" s="39"/>
    </row>
    <row r="89" spans="1:13" ht="15" x14ac:dyDescent="0.25">
      <c r="A89" s="2" t="s">
        <v>331</v>
      </c>
      <c r="B89" s="2" t="s">
        <v>380</v>
      </c>
      <c r="C89" s="40" t="s">
        <v>20</v>
      </c>
      <c r="D89" s="40">
        <v>1</v>
      </c>
      <c r="E89" s="2" t="s">
        <v>205</v>
      </c>
      <c r="F89" s="2" t="s">
        <v>164</v>
      </c>
      <c r="G89" s="2" t="s">
        <v>148</v>
      </c>
      <c r="H89" s="40" t="str">
        <f t="shared" si="1"/>
        <v>04517099 KAWASAKI CRF 100 MT 100CC</v>
      </c>
      <c r="I89" s="40"/>
      <c r="J89" s="40"/>
      <c r="K89" s="2"/>
      <c r="M89" s="39"/>
    </row>
    <row r="90" spans="1:13" ht="15" x14ac:dyDescent="0.25">
      <c r="A90" s="2" t="s">
        <v>332</v>
      </c>
      <c r="B90" s="2" t="s">
        <v>380</v>
      </c>
      <c r="C90" s="40" t="s">
        <v>20</v>
      </c>
      <c r="D90" s="40">
        <v>1</v>
      </c>
      <c r="E90" s="2" t="s">
        <v>205</v>
      </c>
      <c r="F90" s="2" t="s">
        <v>206</v>
      </c>
      <c r="G90" s="2" t="s">
        <v>183</v>
      </c>
      <c r="H90" s="40" t="str">
        <f t="shared" si="1"/>
        <v>04517105 KAWASAKI CRF 250R MT 250CC</v>
      </c>
      <c r="I90" s="40"/>
      <c r="J90" s="40"/>
      <c r="M90" s="39"/>
    </row>
    <row r="91" spans="1:13" ht="15" x14ac:dyDescent="0.25">
      <c r="A91" s="2" t="s">
        <v>333</v>
      </c>
      <c r="B91" s="2" t="s">
        <v>380</v>
      </c>
      <c r="C91" s="40" t="s">
        <v>20</v>
      </c>
      <c r="D91" s="40">
        <v>1</v>
      </c>
      <c r="E91" s="2" t="s">
        <v>207</v>
      </c>
      <c r="F91" s="2" t="s">
        <v>208</v>
      </c>
      <c r="G91" s="2" t="s">
        <v>148</v>
      </c>
      <c r="H91" s="40" t="str">
        <f t="shared" si="1"/>
        <v>04517108 KAWASAKI ECO DELUXE MT 100CC</v>
      </c>
      <c r="I91" s="40"/>
      <c r="J91" s="40"/>
      <c r="K91" s="2"/>
      <c r="M91" s="39"/>
    </row>
    <row r="92" spans="1:13" ht="15" x14ac:dyDescent="0.25">
      <c r="A92" s="2" t="s">
        <v>334</v>
      </c>
      <c r="B92" s="2" t="s">
        <v>380</v>
      </c>
      <c r="C92" s="40" t="s">
        <v>20</v>
      </c>
      <c r="D92" s="40">
        <v>1</v>
      </c>
      <c r="E92" s="2" t="s">
        <v>209</v>
      </c>
      <c r="F92" s="2" t="s">
        <v>150</v>
      </c>
      <c r="G92" s="2" t="s">
        <v>21</v>
      </c>
      <c r="H92" s="40" t="str">
        <f t="shared" si="1"/>
        <v>04517111 KAWASAKI CBF [1] 150 MT 150CC</v>
      </c>
      <c r="I92" s="40"/>
      <c r="J92" s="40"/>
      <c r="M92" s="39"/>
    </row>
    <row r="93" spans="1:13" ht="15" x14ac:dyDescent="0.25">
      <c r="A93" s="2" t="s">
        <v>335</v>
      </c>
      <c r="B93" s="2" t="s">
        <v>380</v>
      </c>
      <c r="C93" s="40" t="s">
        <v>20</v>
      </c>
      <c r="D93" s="40">
        <v>1</v>
      </c>
      <c r="E93" s="2" t="s">
        <v>200</v>
      </c>
      <c r="F93" s="2" t="s">
        <v>210</v>
      </c>
      <c r="G93" s="2" t="s">
        <v>148</v>
      </c>
      <c r="H93" s="40" t="str">
        <f t="shared" si="1"/>
        <v>04517112 KAWASAKI SPLENDOR NXG MT 100CC</v>
      </c>
      <c r="I93" s="40"/>
      <c r="J93" s="40"/>
      <c r="M93" s="39"/>
    </row>
    <row r="94" spans="1:13" ht="15" x14ac:dyDescent="0.25">
      <c r="A94" s="2" t="s">
        <v>336</v>
      </c>
      <c r="B94" s="2" t="s">
        <v>380</v>
      </c>
      <c r="C94" s="40" t="s">
        <v>20</v>
      </c>
      <c r="D94" s="40">
        <v>1</v>
      </c>
      <c r="E94" s="2" t="s">
        <v>205</v>
      </c>
      <c r="F94" s="2" t="s">
        <v>211</v>
      </c>
      <c r="G94" s="2" t="s">
        <v>212</v>
      </c>
      <c r="H94" s="40" t="str">
        <f t="shared" si="1"/>
        <v>04517126 KAWASAKI CRF 50 MT 50CC</v>
      </c>
      <c r="I94" s="40"/>
      <c r="J94" s="40"/>
      <c r="M94" s="39"/>
    </row>
    <row r="95" spans="1:13" ht="15" x14ac:dyDescent="0.25">
      <c r="A95" s="2" t="s">
        <v>337</v>
      </c>
      <c r="B95" s="2" t="s">
        <v>380</v>
      </c>
      <c r="C95" s="40" t="s">
        <v>20</v>
      </c>
      <c r="D95" s="40">
        <v>1</v>
      </c>
      <c r="E95" s="2" t="s">
        <v>213</v>
      </c>
      <c r="F95" s="2" t="s">
        <v>15</v>
      </c>
      <c r="G95" s="2" t="s">
        <v>16</v>
      </c>
      <c r="H95" s="40" t="str">
        <f t="shared" si="1"/>
        <v>04517127 KAWASAKI CBF 125 MT 125CC</v>
      </c>
      <c r="I95" s="40"/>
      <c r="J95" s="40"/>
      <c r="M95" s="39"/>
    </row>
    <row r="96" spans="1:13" ht="15" x14ac:dyDescent="0.25">
      <c r="A96" s="2" t="s">
        <v>338</v>
      </c>
      <c r="B96" s="2" t="s">
        <v>380</v>
      </c>
      <c r="C96" s="40" t="s">
        <v>20</v>
      </c>
      <c r="D96" s="40">
        <v>1</v>
      </c>
      <c r="E96" s="2" t="s">
        <v>214</v>
      </c>
      <c r="F96" s="2" t="s">
        <v>215</v>
      </c>
      <c r="G96" s="2" t="s">
        <v>16</v>
      </c>
      <c r="H96" s="40" t="str">
        <f t="shared" si="1"/>
        <v>04517131 KAWASAKI CB 125E MT 125CC</v>
      </c>
      <c r="I96" s="40"/>
      <c r="J96" s="40"/>
      <c r="M96" s="39"/>
    </row>
    <row r="97" spans="1:13" ht="15" x14ac:dyDescent="0.25">
      <c r="A97" s="2" t="s">
        <v>339</v>
      </c>
      <c r="B97" s="2" t="s">
        <v>380</v>
      </c>
      <c r="C97" s="40" t="s">
        <v>20</v>
      </c>
      <c r="D97" s="40">
        <v>1</v>
      </c>
      <c r="E97" s="2" t="s">
        <v>214</v>
      </c>
      <c r="F97" s="2" t="s">
        <v>169</v>
      </c>
      <c r="G97" s="2" t="s">
        <v>6</v>
      </c>
      <c r="H97" s="40" t="str">
        <f t="shared" si="1"/>
        <v>04517139 KAWASAKI CB 110 MT 110CC</v>
      </c>
      <c r="I97" s="40"/>
      <c r="J97" s="40"/>
      <c r="M97" s="39"/>
    </row>
    <row r="98" spans="1:13" ht="15" x14ac:dyDescent="0.25">
      <c r="A98" s="2" t="s">
        <v>494</v>
      </c>
      <c r="B98" s="2" t="s">
        <v>380</v>
      </c>
      <c r="C98" s="40" t="s">
        <v>20</v>
      </c>
      <c r="D98" s="40">
        <v>1</v>
      </c>
      <c r="E98" s="2" t="s">
        <v>184</v>
      </c>
      <c r="F98" s="2" t="s">
        <v>216</v>
      </c>
      <c r="G98" s="2" t="s">
        <v>16</v>
      </c>
      <c r="H98" s="40" t="str">
        <f t="shared" si="1"/>
        <v>04517142 KAWASAKI XR 125L MT 125CC</v>
      </c>
      <c r="I98" s="40"/>
      <c r="J98" s="40"/>
      <c r="M98" s="39"/>
    </row>
    <row r="99" spans="1:13" ht="15" x14ac:dyDescent="0.25">
      <c r="A99" s="2" t="s">
        <v>340</v>
      </c>
      <c r="B99" s="2" t="s">
        <v>380</v>
      </c>
      <c r="C99" s="40" t="s">
        <v>20</v>
      </c>
      <c r="D99" s="40">
        <v>1</v>
      </c>
      <c r="E99" s="2" t="s">
        <v>214</v>
      </c>
      <c r="F99" s="2" t="s">
        <v>217</v>
      </c>
      <c r="G99" s="2" t="s">
        <v>21</v>
      </c>
      <c r="H99" s="40" t="str">
        <f t="shared" si="1"/>
        <v>04519004 KAWASAKI CB 150 INVICTA MT 150CC</v>
      </c>
      <c r="I99" s="40"/>
      <c r="J99" s="40"/>
      <c r="M99" s="39"/>
    </row>
    <row r="100" spans="1:13" ht="15" x14ac:dyDescent="0.25">
      <c r="A100" s="2" t="s">
        <v>341</v>
      </c>
      <c r="B100" s="2" t="s">
        <v>381</v>
      </c>
      <c r="C100" s="40" t="s">
        <v>20</v>
      </c>
      <c r="D100" s="40">
        <v>1</v>
      </c>
      <c r="E100" s="2" t="s">
        <v>190</v>
      </c>
      <c r="F100" s="2" t="s">
        <v>218</v>
      </c>
      <c r="G100" s="2" t="s">
        <v>148</v>
      </c>
      <c r="H100" s="40" t="str">
        <f t="shared" si="1"/>
        <v>10117001 KYMCO C100 100 [WAVE II] MT 100CC</v>
      </c>
      <c r="I100" s="40"/>
      <c r="J100" s="40"/>
      <c r="M100" s="39"/>
    </row>
    <row r="101" spans="1:13" ht="15" x14ac:dyDescent="0.25">
      <c r="A101" s="2" t="s">
        <v>342</v>
      </c>
      <c r="B101" s="2" t="s">
        <v>381</v>
      </c>
      <c r="C101" s="40" t="s">
        <v>20</v>
      </c>
      <c r="D101" s="40">
        <v>1</v>
      </c>
      <c r="E101" s="2" t="s">
        <v>219</v>
      </c>
      <c r="F101" s="2" t="s">
        <v>220</v>
      </c>
      <c r="G101" s="2" t="s">
        <v>221</v>
      </c>
      <c r="H101" s="40" t="str">
        <f t="shared" si="1"/>
        <v>10117002 KYMCO CBR 250RC MT 250CC ABS</v>
      </c>
      <c r="I101" s="40"/>
      <c r="J101" s="40"/>
      <c r="M101" s="39"/>
    </row>
    <row r="102" spans="1:13" ht="15" x14ac:dyDescent="0.25">
      <c r="A102" s="2" t="s">
        <v>343</v>
      </c>
      <c r="B102" s="2" t="s">
        <v>381</v>
      </c>
      <c r="C102" s="40" t="s">
        <v>20</v>
      </c>
      <c r="D102" s="40">
        <v>1</v>
      </c>
      <c r="E102" s="2" t="s">
        <v>222</v>
      </c>
      <c r="F102" s="2" t="s">
        <v>150</v>
      </c>
      <c r="G102" s="2" t="s">
        <v>21</v>
      </c>
      <c r="H102" s="40" t="str">
        <f t="shared" si="1"/>
        <v>10117003 KYMCO CBF [2] 150 MT 150CC</v>
      </c>
      <c r="I102" s="40"/>
      <c r="J102" s="40"/>
      <c r="M102" s="39"/>
    </row>
    <row r="103" spans="1:13" ht="15" x14ac:dyDescent="0.25">
      <c r="A103" s="2" t="s">
        <v>344</v>
      </c>
      <c r="B103" s="2" t="s">
        <v>381</v>
      </c>
      <c r="C103" s="40" t="s">
        <v>20</v>
      </c>
      <c r="D103" s="40">
        <v>1</v>
      </c>
      <c r="E103" s="2" t="s">
        <v>214</v>
      </c>
      <c r="F103" s="2" t="s">
        <v>223</v>
      </c>
      <c r="G103" s="2" t="s">
        <v>16</v>
      </c>
      <c r="H103" s="40" t="str">
        <f t="shared" si="1"/>
        <v>10117005 KYMCO CB 1 MT 125CC</v>
      </c>
      <c r="I103" s="40"/>
      <c r="J103" s="40"/>
      <c r="M103" s="39"/>
    </row>
    <row r="104" spans="1:13" ht="15" x14ac:dyDescent="0.25">
      <c r="A104" s="2" t="s">
        <v>345</v>
      </c>
      <c r="B104" s="2" t="s">
        <v>381</v>
      </c>
      <c r="C104" s="40" t="s">
        <v>20</v>
      </c>
      <c r="D104" s="40">
        <v>1</v>
      </c>
      <c r="E104" s="2" t="s">
        <v>443</v>
      </c>
      <c r="F104" s="2" t="s">
        <v>169</v>
      </c>
      <c r="G104" s="2" t="s">
        <v>6</v>
      </c>
      <c r="H104" s="40" t="str">
        <f t="shared" si="1"/>
        <v>10117006 KYMCO WAVE [2] 110 MT 110CC</v>
      </c>
      <c r="I104" s="40"/>
      <c r="J104" s="40"/>
      <c r="M104" s="39"/>
    </row>
    <row r="105" spans="1:13" ht="15" x14ac:dyDescent="0.25">
      <c r="A105" s="2" t="s">
        <v>346</v>
      </c>
      <c r="B105" s="2" t="s">
        <v>381</v>
      </c>
      <c r="C105" s="40" t="s">
        <v>20</v>
      </c>
      <c r="D105" s="40">
        <v>1</v>
      </c>
      <c r="E105" s="2" t="s">
        <v>214</v>
      </c>
      <c r="F105" s="2" t="s">
        <v>253</v>
      </c>
      <c r="G105" s="2" t="s">
        <v>21</v>
      </c>
      <c r="H105" s="40" t="str">
        <f t="shared" si="1"/>
        <v>10117007 KYMCO CB 150 NUEVA INVICTA MT 150CC</v>
      </c>
      <c r="I105" s="40"/>
      <c r="J105" s="40"/>
      <c r="M105" s="39"/>
    </row>
    <row r="106" spans="1:13" ht="15" x14ac:dyDescent="0.25">
      <c r="A106" s="2" t="s">
        <v>347</v>
      </c>
      <c r="B106" s="2" t="s">
        <v>381</v>
      </c>
      <c r="C106" s="40" t="s">
        <v>20</v>
      </c>
      <c r="D106" s="40">
        <v>1</v>
      </c>
      <c r="E106" s="2" t="s">
        <v>444</v>
      </c>
      <c r="F106" s="2" t="s">
        <v>15</v>
      </c>
      <c r="G106" s="2" t="s">
        <v>14</v>
      </c>
      <c r="H106" s="40" t="str">
        <f t="shared" si="1"/>
        <v>10117008 KYMCO ELITE + 125 AT 125CC</v>
      </c>
      <c r="I106" s="40"/>
      <c r="J106" s="40"/>
      <c r="M106" s="39"/>
    </row>
    <row r="107" spans="1:13" ht="15" x14ac:dyDescent="0.25">
      <c r="A107" s="2" t="s">
        <v>348</v>
      </c>
      <c r="B107" s="2" t="s">
        <v>381</v>
      </c>
      <c r="C107" s="40" t="s">
        <v>20</v>
      </c>
      <c r="D107" s="40">
        <v>1</v>
      </c>
      <c r="E107" s="2" t="s">
        <v>219</v>
      </c>
      <c r="F107" s="2" t="s">
        <v>445</v>
      </c>
      <c r="G107" s="2" t="s">
        <v>183</v>
      </c>
      <c r="H107" s="40" t="str">
        <f t="shared" si="1"/>
        <v>10117010 KYMCO CBR 250R STD MT 250CC</v>
      </c>
      <c r="I107" s="40"/>
      <c r="J107" s="40"/>
      <c r="M107" s="39"/>
    </row>
    <row r="108" spans="1:13" ht="15" x14ac:dyDescent="0.25">
      <c r="A108" s="2" t="s">
        <v>349</v>
      </c>
      <c r="B108" s="2" t="s">
        <v>381</v>
      </c>
      <c r="C108" s="40" t="s">
        <v>20</v>
      </c>
      <c r="D108" s="40">
        <v>1</v>
      </c>
      <c r="E108" s="2" t="s">
        <v>184</v>
      </c>
      <c r="F108" s="2" t="s">
        <v>446</v>
      </c>
      <c r="G108" s="2" t="s">
        <v>21</v>
      </c>
      <c r="H108" s="40" t="str">
        <f t="shared" si="1"/>
        <v>10117012 KYMCO XR 150L MT 150CC</v>
      </c>
      <c r="I108" s="40"/>
      <c r="J108" s="40"/>
      <c r="M108" s="39"/>
    </row>
    <row r="109" spans="1:13" ht="15" x14ac:dyDescent="0.25">
      <c r="A109" s="2" t="s">
        <v>350</v>
      </c>
      <c r="B109" s="2" t="s">
        <v>381</v>
      </c>
      <c r="C109" s="40" t="s">
        <v>20</v>
      </c>
      <c r="D109" s="40">
        <v>1</v>
      </c>
      <c r="E109" s="2" t="s">
        <v>447</v>
      </c>
      <c r="F109" s="2" t="s">
        <v>448</v>
      </c>
      <c r="G109" s="2" t="s">
        <v>14</v>
      </c>
      <c r="H109" s="40" t="str">
        <f t="shared" si="1"/>
        <v>10117013 KYMCO CLICK 125I AT 125CC</v>
      </c>
      <c r="I109" s="40"/>
      <c r="J109" s="40"/>
      <c r="M109" s="39"/>
    </row>
    <row r="110" spans="1:13" ht="15" x14ac:dyDescent="0.25">
      <c r="A110" s="2" t="s">
        <v>351</v>
      </c>
      <c r="B110" s="2" t="s">
        <v>381</v>
      </c>
      <c r="C110" s="40" t="s">
        <v>20</v>
      </c>
      <c r="D110" s="40">
        <v>1</v>
      </c>
      <c r="E110" s="2" t="s">
        <v>214</v>
      </c>
      <c r="F110" s="2" t="s">
        <v>254</v>
      </c>
      <c r="G110" s="2" t="s">
        <v>16</v>
      </c>
      <c r="H110" s="40" t="str">
        <f t="shared" si="1"/>
        <v>10117014 KYMCO CB 125E POWER SPORT MT 125CC</v>
      </c>
      <c r="I110" s="40"/>
      <c r="J110" s="40"/>
      <c r="M110" s="39"/>
    </row>
    <row r="111" spans="1:13" ht="15" x14ac:dyDescent="0.25">
      <c r="A111" s="2" t="s">
        <v>352</v>
      </c>
      <c r="B111" s="2" t="s">
        <v>381</v>
      </c>
      <c r="C111" s="40" t="s">
        <v>20</v>
      </c>
      <c r="D111" s="40">
        <v>1</v>
      </c>
      <c r="E111" s="2" t="s">
        <v>449</v>
      </c>
      <c r="F111" s="2" t="s">
        <v>450</v>
      </c>
      <c r="G111" s="2" t="s">
        <v>6</v>
      </c>
      <c r="H111" s="40" t="str">
        <f t="shared" si="1"/>
        <v>10117015 KYMCO DREAM NEO MT 110CC</v>
      </c>
      <c r="I111" s="40"/>
      <c r="J111" s="40"/>
      <c r="M111" s="39"/>
    </row>
    <row r="112" spans="1:13" ht="15" x14ac:dyDescent="0.25">
      <c r="A112" s="2" t="s">
        <v>353</v>
      </c>
      <c r="B112" s="2" t="s">
        <v>381</v>
      </c>
      <c r="C112" s="40" t="s">
        <v>20</v>
      </c>
      <c r="D112" s="40">
        <v>1</v>
      </c>
      <c r="E112" s="2" t="s">
        <v>214</v>
      </c>
      <c r="F112" s="2" t="s">
        <v>255</v>
      </c>
      <c r="G112" s="2" t="s">
        <v>16</v>
      </c>
      <c r="H112" s="40" t="str">
        <f t="shared" si="1"/>
        <v>10117016 KYMCO CB 1 PRO MT 125CC</v>
      </c>
      <c r="I112" s="40"/>
      <c r="J112" s="40"/>
      <c r="M112" s="39"/>
    </row>
    <row r="113" spans="1:13" ht="15" x14ac:dyDescent="0.25">
      <c r="A113" s="2" t="s">
        <v>354</v>
      </c>
      <c r="B113" s="2" t="s">
        <v>381</v>
      </c>
      <c r="C113" s="40" t="s">
        <v>20</v>
      </c>
      <c r="D113" s="40">
        <v>1</v>
      </c>
      <c r="E113" s="2" t="s">
        <v>214</v>
      </c>
      <c r="F113" s="2" t="s">
        <v>256</v>
      </c>
      <c r="G113" s="2" t="s">
        <v>257</v>
      </c>
      <c r="H113" s="40" t="str">
        <f t="shared" si="1"/>
        <v>10117017 KYMCO CB 190R MT 190CC</v>
      </c>
      <c r="I113" s="40"/>
      <c r="J113" s="40"/>
      <c r="M113" s="39"/>
    </row>
    <row r="114" spans="1:13" ht="15" x14ac:dyDescent="0.25">
      <c r="A114" s="2" t="s">
        <v>355</v>
      </c>
      <c r="B114" s="2" t="s">
        <v>381</v>
      </c>
      <c r="C114" s="40" t="s">
        <v>20</v>
      </c>
      <c r="D114" s="40">
        <v>1</v>
      </c>
      <c r="E114" s="2" t="s">
        <v>451</v>
      </c>
      <c r="F114" s="2" t="s">
        <v>169</v>
      </c>
      <c r="G114" s="2" t="s">
        <v>248</v>
      </c>
      <c r="H114" s="40" t="str">
        <f t="shared" si="1"/>
        <v>10117018 KYMCO DIO 110 AT 110CC</v>
      </c>
      <c r="I114" s="40"/>
      <c r="J114" s="40"/>
      <c r="M114" s="39"/>
    </row>
    <row r="115" spans="1:13" ht="15" x14ac:dyDescent="0.25">
      <c r="A115" s="2" t="s">
        <v>356</v>
      </c>
      <c r="B115" s="2" t="s">
        <v>381</v>
      </c>
      <c r="C115" s="40" t="s">
        <v>20</v>
      </c>
      <c r="D115" s="40">
        <v>1</v>
      </c>
      <c r="E115" s="2" t="s">
        <v>214</v>
      </c>
      <c r="F115" s="2" t="s">
        <v>258</v>
      </c>
      <c r="G115" s="2" t="s">
        <v>194</v>
      </c>
      <c r="H115" s="40" t="str">
        <f t="shared" si="1"/>
        <v>10117019 KYMCO CB 160F DLX MT 160CC</v>
      </c>
      <c r="I115" s="40"/>
      <c r="J115" s="40"/>
      <c r="M115" s="39"/>
    </row>
    <row r="116" spans="1:13" ht="15" x14ac:dyDescent="0.25">
      <c r="A116" s="2" t="s">
        <v>357</v>
      </c>
      <c r="B116" s="2" t="s">
        <v>381</v>
      </c>
      <c r="C116" s="40" t="s">
        <v>20</v>
      </c>
      <c r="D116" s="40">
        <v>1</v>
      </c>
      <c r="E116" s="2" t="s">
        <v>214</v>
      </c>
      <c r="F116" s="2" t="s">
        <v>259</v>
      </c>
      <c r="G116" s="2" t="s">
        <v>194</v>
      </c>
      <c r="H116" s="40" t="str">
        <f t="shared" si="1"/>
        <v>10117020 KYMCO CB 160F STD MT 160CC</v>
      </c>
      <c r="I116" s="40"/>
      <c r="J116" s="40"/>
      <c r="M116" s="39"/>
    </row>
    <row r="117" spans="1:13" ht="15" x14ac:dyDescent="0.25">
      <c r="A117" s="2" t="s">
        <v>358</v>
      </c>
      <c r="B117" s="2" t="s">
        <v>381</v>
      </c>
      <c r="C117" s="40" t="s">
        <v>20</v>
      </c>
      <c r="D117" s="40">
        <v>1</v>
      </c>
      <c r="E117" s="2" t="s">
        <v>214</v>
      </c>
      <c r="F117" s="2" t="s">
        <v>247</v>
      </c>
      <c r="G117" s="2" t="s">
        <v>183</v>
      </c>
      <c r="H117" s="40" t="str">
        <f t="shared" si="1"/>
        <v>10117021 KYMCO CB 250 TWISTER MT 250CC</v>
      </c>
      <c r="I117" s="40"/>
      <c r="J117" s="40"/>
      <c r="M117" s="39"/>
    </row>
    <row r="118" spans="1:13" ht="15" x14ac:dyDescent="0.25">
      <c r="A118" s="2" t="s">
        <v>359</v>
      </c>
      <c r="B118" s="2" t="s">
        <v>381</v>
      </c>
      <c r="C118" s="40" t="s">
        <v>20</v>
      </c>
      <c r="D118" s="40">
        <v>1</v>
      </c>
      <c r="E118" s="2" t="s">
        <v>452</v>
      </c>
      <c r="F118" s="2" t="s">
        <v>453</v>
      </c>
      <c r="G118" s="2" t="s">
        <v>257</v>
      </c>
      <c r="H118" s="40" t="str">
        <f t="shared" si="1"/>
        <v>10117022 KYMCO XRE 190 MT 190CC</v>
      </c>
      <c r="I118" s="40"/>
      <c r="J118" s="40"/>
      <c r="M118" s="39"/>
    </row>
    <row r="119" spans="1:13" ht="15" x14ac:dyDescent="0.25">
      <c r="A119" s="2" t="s">
        <v>360</v>
      </c>
      <c r="B119" s="2" t="s">
        <v>381</v>
      </c>
      <c r="C119" s="40" t="s">
        <v>20</v>
      </c>
      <c r="D119" s="40">
        <v>1</v>
      </c>
      <c r="E119" s="2" t="s">
        <v>184</v>
      </c>
      <c r="F119" s="2" t="s">
        <v>224</v>
      </c>
      <c r="G119" s="2" t="s">
        <v>148</v>
      </c>
      <c r="H119" s="40" t="str">
        <f t="shared" si="1"/>
        <v>10117023 KYMCO XR 100R MT 100CC</v>
      </c>
      <c r="I119" s="40"/>
      <c r="J119" s="40"/>
      <c r="M119" s="39"/>
    </row>
    <row r="120" spans="1:13" ht="15" x14ac:dyDescent="0.25">
      <c r="A120" s="2" t="s">
        <v>361</v>
      </c>
      <c r="B120" s="2" t="s">
        <v>381</v>
      </c>
      <c r="C120" s="40" t="s">
        <v>20</v>
      </c>
      <c r="D120" s="40">
        <v>1</v>
      </c>
      <c r="E120" s="2" t="s">
        <v>225</v>
      </c>
      <c r="F120" s="2" t="s">
        <v>164</v>
      </c>
      <c r="G120" s="2" t="s">
        <v>148</v>
      </c>
      <c r="H120" s="40" t="str">
        <f t="shared" si="1"/>
        <v>10117024 KYMCO AERO 100 MT 100CC</v>
      </c>
      <c r="I120" s="40"/>
      <c r="J120" s="40"/>
      <c r="M120" s="39"/>
    </row>
    <row r="121" spans="1:13" ht="15" x14ac:dyDescent="0.25">
      <c r="A121" s="2" t="s">
        <v>495</v>
      </c>
      <c r="B121" s="2" t="s">
        <v>381</v>
      </c>
      <c r="C121" s="40" t="s">
        <v>20</v>
      </c>
      <c r="D121" s="40">
        <v>1</v>
      </c>
      <c r="E121" s="2" t="s">
        <v>226</v>
      </c>
      <c r="F121" s="2" t="s">
        <v>164</v>
      </c>
      <c r="G121" s="2" t="s">
        <v>148</v>
      </c>
      <c r="H121" s="40" t="str">
        <f t="shared" si="1"/>
        <v>10117025 KYMCO CD 100 MT 100CC</v>
      </c>
      <c r="I121" s="40"/>
      <c r="J121" s="40"/>
      <c r="M121" s="39"/>
    </row>
    <row r="122" spans="1:13" ht="15" x14ac:dyDescent="0.25">
      <c r="A122" s="2" t="s">
        <v>496</v>
      </c>
      <c r="B122" s="2" t="s">
        <v>381</v>
      </c>
      <c r="C122" s="40" t="s">
        <v>20</v>
      </c>
      <c r="D122" s="40">
        <v>1</v>
      </c>
      <c r="E122" s="2" t="s">
        <v>227</v>
      </c>
      <c r="F122" s="2" t="s">
        <v>198</v>
      </c>
      <c r="G122" s="2" t="s">
        <v>228</v>
      </c>
      <c r="H122" s="40" t="str">
        <f t="shared" si="1"/>
        <v>10117026 KYMCO TRX 90 AT 90CC 4X2</v>
      </c>
      <c r="I122" s="40"/>
      <c r="J122" s="40"/>
      <c r="M122" s="39"/>
    </row>
    <row r="123" spans="1:13" ht="15" x14ac:dyDescent="0.25">
      <c r="A123" s="2" t="s">
        <v>362</v>
      </c>
      <c r="B123" s="2" t="s">
        <v>381</v>
      </c>
      <c r="C123" s="40" t="s">
        <v>20</v>
      </c>
      <c r="D123" s="40">
        <v>1</v>
      </c>
      <c r="E123" s="2" t="s">
        <v>200</v>
      </c>
      <c r="F123" s="2" t="s">
        <v>164</v>
      </c>
      <c r="G123" s="2" t="s">
        <v>148</v>
      </c>
      <c r="H123" s="40" t="str">
        <f t="shared" si="1"/>
        <v>10119002 KYMCO SPLENDOR 100 MT 100CC</v>
      </c>
      <c r="I123" s="40"/>
      <c r="J123" s="40"/>
      <c r="M123" s="39"/>
    </row>
    <row r="124" spans="1:13" ht="15" x14ac:dyDescent="0.25">
      <c r="A124" s="2" t="s">
        <v>363</v>
      </c>
      <c r="B124" s="2" t="s">
        <v>381</v>
      </c>
      <c r="C124" s="40" t="s">
        <v>20</v>
      </c>
      <c r="D124" s="40">
        <v>1</v>
      </c>
      <c r="E124" s="2" t="s">
        <v>229</v>
      </c>
      <c r="F124" s="2" t="s">
        <v>230</v>
      </c>
      <c r="G124" s="2" t="s">
        <v>231</v>
      </c>
      <c r="H124" s="40" t="str">
        <f t="shared" si="1"/>
        <v>10119003 KYMCO ZX 100 KINETIC AT 100CC 2T</v>
      </c>
      <c r="I124" s="40"/>
      <c r="J124" s="40"/>
      <c r="M124" s="39"/>
    </row>
    <row r="125" spans="1:13" ht="15" x14ac:dyDescent="0.25">
      <c r="A125" s="2" t="s">
        <v>497</v>
      </c>
      <c r="B125" s="2" t="s">
        <v>382</v>
      </c>
      <c r="C125" s="40" t="s">
        <v>20</v>
      </c>
      <c r="D125" s="40">
        <v>1</v>
      </c>
      <c r="E125" s="2" t="s">
        <v>214</v>
      </c>
      <c r="F125" s="2" t="s">
        <v>232</v>
      </c>
      <c r="G125" s="2" t="s">
        <v>183</v>
      </c>
      <c r="H125" s="40" t="str">
        <f t="shared" si="1"/>
        <v>17417005 KTM CB 250 NIGHTHAWK MT 250CC</v>
      </c>
      <c r="I125" s="40"/>
      <c r="J125" s="40"/>
      <c r="M125" s="39"/>
    </row>
    <row r="126" spans="1:13" ht="15" x14ac:dyDescent="0.25">
      <c r="A126" s="2" t="s">
        <v>364</v>
      </c>
      <c r="B126" s="2" t="s">
        <v>382</v>
      </c>
      <c r="C126" s="40" t="s">
        <v>20</v>
      </c>
      <c r="D126" s="40">
        <v>1</v>
      </c>
      <c r="E126" s="2" t="s">
        <v>202</v>
      </c>
      <c r="F126" s="2" t="s">
        <v>233</v>
      </c>
      <c r="G126" s="2" t="s">
        <v>148</v>
      </c>
      <c r="H126" s="40" t="str">
        <f t="shared" si="1"/>
        <v>17417006 KTM BIZ C 100 MT 100CC</v>
      </c>
      <c r="I126" s="40"/>
      <c r="J126" s="40"/>
      <c r="M126" s="39"/>
    </row>
    <row r="127" spans="1:13" ht="15" x14ac:dyDescent="0.25">
      <c r="A127" s="2" t="s">
        <v>365</v>
      </c>
      <c r="B127" s="2" t="s">
        <v>382</v>
      </c>
      <c r="C127" s="40" t="s">
        <v>20</v>
      </c>
      <c r="D127" s="40">
        <v>1</v>
      </c>
      <c r="E127" s="2" t="s">
        <v>234</v>
      </c>
      <c r="F127" s="2" t="s">
        <v>235</v>
      </c>
      <c r="G127" s="2" t="s">
        <v>16</v>
      </c>
      <c r="H127" s="40" t="str">
        <f t="shared" si="1"/>
        <v>17417014 KTM REBEL CA 125 MT 125CC</v>
      </c>
      <c r="I127" s="40"/>
      <c r="J127" s="40"/>
      <c r="M127" s="39"/>
    </row>
    <row r="128" spans="1:13" ht="15" x14ac:dyDescent="0.25">
      <c r="A128" s="2" t="s">
        <v>366</v>
      </c>
      <c r="B128" s="2" t="s">
        <v>382</v>
      </c>
      <c r="C128" s="40" t="s">
        <v>20</v>
      </c>
      <c r="D128" s="40">
        <v>1</v>
      </c>
      <c r="E128" s="2" t="s">
        <v>236</v>
      </c>
      <c r="F128" s="2" t="s">
        <v>237</v>
      </c>
      <c r="G128" s="2" t="s">
        <v>16</v>
      </c>
      <c r="H128" s="40" t="str">
        <f t="shared" si="1"/>
        <v>17417015 KTM CG 125 TITAN MT 125CC</v>
      </c>
      <c r="I128" s="40"/>
      <c r="J128" s="40"/>
      <c r="M128" s="39"/>
    </row>
    <row r="129" spans="1:13" ht="15" x14ac:dyDescent="0.25">
      <c r="A129" s="2" t="s">
        <v>367</v>
      </c>
      <c r="B129" s="2" t="s">
        <v>382</v>
      </c>
      <c r="C129" s="40" t="s">
        <v>20</v>
      </c>
      <c r="D129" s="40">
        <v>1</v>
      </c>
      <c r="E129" s="2" t="s">
        <v>200</v>
      </c>
      <c r="F129" s="2" t="s">
        <v>238</v>
      </c>
      <c r="G129" s="2" t="s">
        <v>148</v>
      </c>
      <c r="H129" s="40" t="str">
        <f t="shared" ref="H129:H143" si="2">CONCATENATE(A129, " ",B129," ",E129," ",F129," ",G129)</f>
        <v>17417016 KTM SPLENDOR 100+ MT 100CC</v>
      </c>
      <c r="I129" s="40"/>
      <c r="J129" s="40"/>
      <c r="M129" s="39"/>
    </row>
    <row r="130" spans="1:13" ht="15" x14ac:dyDescent="0.25">
      <c r="A130" s="2" t="s">
        <v>368</v>
      </c>
      <c r="B130" s="2" t="s">
        <v>382</v>
      </c>
      <c r="C130" s="40" t="s">
        <v>20</v>
      </c>
      <c r="D130" s="40">
        <v>1</v>
      </c>
      <c r="E130" s="2" t="s">
        <v>192</v>
      </c>
      <c r="F130" s="2" t="s">
        <v>239</v>
      </c>
      <c r="G130" s="2" t="s">
        <v>194</v>
      </c>
      <c r="H130" s="40" t="str">
        <f t="shared" si="2"/>
        <v>17417017 KTM CBZ 160 KS MT 160CC</v>
      </c>
      <c r="I130" s="40"/>
      <c r="J130" s="40"/>
      <c r="M130" s="39"/>
    </row>
    <row r="131" spans="1:13" ht="15" x14ac:dyDescent="0.25">
      <c r="A131" s="2" t="s">
        <v>369</v>
      </c>
      <c r="B131" s="2" t="s">
        <v>382</v>
      </c>
      <c r="C131" s="40" t="s">
        <v>20</v>
      </c>
      <c r="D131" s="40">
        <v>1</v>
      </c>
      <c r="E131" s="2" t="s">
        <v>240</v>
      </c>
      <c r="F131" s="2" t="s">
        <v>164</v>
      </c>
      <c r="G131" s="2" t="s">
        <v>148</v>
      </c>
      <c r="H131" s="40" t="str">
        <f t="shared" si="2"/>
        <v>17417019 KTM PASSION 100 MT 100CC</v>
      </c>
      <c r="I131" s="40"/>
      <c r="J131" s="40"/>
      <c r="M131" s="39"/>
    </row>
    <row r="132" spans="1:13" ht="15" x14ac:dyDescent="0.25">
      <c r="A132" s="2" t="s">
        <v>370</v>
      </c>
      <c r="B132" s="2" t="s">
        <v>382</v>
      </c>
      <c r="C132" s="40" t="s">
        <v>20</v>
      </c>
      <c r="D132" s="40">
        <v>1</v>
      </c>
      <c r="E132" s="2" t="s">
        <v>178</v>
      </c>
      <c r="F132" s="2" t="s">
        <v>241</v>
      </c>
      <c r="G132" s="2" t="s">
        <v>170</v>
      </c>
      <c r="H132" s="40" t="str">
        <f t="shared" si="2"/>
        <v>17417024 KTM LEAD SCV100 AT 100CC</v>
      </c>
      <c r="I132" s="40"/>
      <c r="J132" s="40"/>
      <c r="M132" s="39"/>
    </row>
    <row r="133" spans="1:13" ht="15" x14ac:dyDescent="0.25">
      <c r="A133" s="2" t="s">
        <v>371</v>
      </c>
      <c r="B133" s="2" t="s">
        <v>382</v>
      </c>
      <c r="C133" s="40" t="s">
        <v>20</v>
      </c>
      <c r="D133" s="40">
        <v>1</v>
      </c>
      <c r="E133" s="2" t="s">
        <v>226</v>
      </c>
      <c r="F133" s="2" t="s">
        <v>242</v>
      </c>
      <c r="G133" s="2" t="s">
        <v>148</v>
      </c>
      <c r="H133" s="40" t="str">
        <f t="shared" si="2"/>
        <v>17417025 KTM CD 100 DAWN MT 100CC</v>
      </c>
      <c r="I133" s="40"/>
      <c r="J133" s="40"/>
      <c r="M133" s="39"/>
    </row>
    <row r="134" spans="1:13" ht="15" x14ac:dyDescent="0.25">
      <c r="A134" s="2" t="s">
        <v>372</v>
      </c>
      <c r="B134" s="2" t="s">
        <v>382</v>
      </c>
      <c r="C134" s="40" t="s">
        <v>20</v>
      </c>
      <c r="D134" s="40">
        <v>1</v>
      </c>
      <c r="E134" s="2" t="s">
        <v>184</v>
      </c>
      <c r="F134" s="2" t="s">
        <v>206</v>
      </c>
      <c r="G134" s="2" t="s">
        <v>183</v>
      </c>
      <c r="H134" s="40" t="str">
        <f t="shared" si="2"/>
        <v>17417038 KTM XR 250R MT 250CC</v>
      </c>
      <c r="I134" s="40"/>
      <c r="J134" s="40"/>
      <c r="M134" s="39"/>
    </row>
    <row r="135" spans="1:13" ht="15" x14ac:dyDescent="0.25">
      <c r="A135" s="2" t="s">
        <v>373</v>
      </c>
      <c r="B135" s="2" t="s">
        <v>382</v>
      </c>
      <c r="C135" s="40" t="s">
        <v>20</v>
      </c>
      <c r="D135" s="40">
        <v>1</v>
      </c>
      <c r="E135" s="2" t="s">
        <v>205</v>
      </c>
      <c r="F135" s="2" t="s">
        <v>243</v>
      </c>
      <c r="G135" s="2" t="s">
        <v>244</v>
      </c>
      <c r="H135" s="40" t="str">
        <f t="shared" si="2"/>
        <v>17417046 KTM CRF 230F MT 230CC</v>
      </c>
      <c r="I135" s="40"/>
      <c r="J135" s="40"/>
      <c r="M135" s="39"/>
    </row>
    <row r="136" spans="1:13" ht="15" x14ac:dyDescent="0.25">
      <c r="A136" s="2" t="s">
        <v>374</v>
      </c>
      <c r="B136" s="2" t="s">
        <v>382</v>
      </c>
      <c r="C136" s="40" t="s">
        <v>20</v>
      </c>
      <c r="D136" s="40">
        <v>1</v>
      </c>
      <c r="E136" s="2" t="s">
        <v>207</v>
      </c>
      <c r="F136" s="2" t="s">
        <v>238</v>
      </c>
      <c r="G136" s="2" t="s">
        <v>148</v>
      </c>
      <c r="H136" s="40" t="str">
        <f t="shared" si="2"/>
        <v>17417048 KTM ECO 100+ MT 100CC</v>
      </c>
      <c r="I136" s="40"/>
      <c r="J136" s="40"/>
      <c r="M136" s="39"/>
    </row>
    <row r="137" spans="1:13" ht="15" x14ac:dyDescent="0.25">
      <c r="A137" s="2" t="s">
        <v>375</v>
      </c>
      <c r="B137" s="2" t="s">
        <v>382</v>
      </c>
      <c r="C137" s="40" t="s">
        <v>20</v>
      </c>
      <c r="D137" s="40">
        <v>1</v>
      </c>
      <c r="E137" s="2" t="s">
        <v>202</v>
      </c>
      <c r="F137" s="2" t="s">
        <v>245</v>
      </c>
      <c r="G137" s="2" t="s">
        <v>148</v>
      </c>
      <c r="H137" s="40" t="str">
        <f t="shared" si="2"/>
        <v>17417052 KTM BIZ ES MT 100CC</v>
      </c>
      <c r="I137" s="40"/>
      <c r="J137" s="40"/>
      <c r="M137" s="39"/>
    </row>
    <row r="138" spans="1:13" ht="15" x14ac:dyDescent="0.25">
      <c r="A138" s="2" t="s">
        <v>498</v>
      </c>
      <c r="B138" s="2" t="s">
        <v>382</v>
      </c>
      <c r="C138" s="40" t="s">
        <v>20</v>
      </c>
      <c r="D138" s="40">
        <v>1</v>
      </c>
      <c r="E138" s="2" t="s">
        <v>202</v>
      </c>
      <c r="F138" s="2" t="s">
        <v>246</v>
      </c>
      <c r="G138" s="2" t="s">
        <v>148</v>
      </c>
      <c r="H138" s="40" t="str">
        <f t="shared" si="2"/>
        <v>17417059 KTM BIZ KS MT 100CC</v>
      </c>
      <c r="I138" s="40"/>
      <c r="J138" s="40"/>
      <c r="M138" s="39"/>
    </row>
    <row r="139" spans="1:13" ht="15" x14ac:dyDescent="0.25">
      <c r="A139" s="2" t="s">
        <v>376</v>
      </c>
      <c r="B139" s="2" t="s">
        <v>383</v>
      </c>
      <c r="C139" s="40" t="s">
        <v>20</v>
      </c>
      <c r="D139" s="40">
        <v>1</v>
      </c>
      <c r="E139" s="2" t="s">
        <v>501</v>
      </c>
      <c r="F139" s="2" t="s">
        <v>150</v>
      </c>
      <c r="G139" s="2" t="s">
        <v>21</v>
      </c>
      <c r="H139" s="40" t="str">
        <f t="shared" si="2"/>
        <v>39617001 VICTORY MRX 150 MT 150CC</v>
      </c>
      <c r="I139" s="40"/>
      <c r="J139" s="40"/>
      <c r="M139" s="39"/>
    </row>
    <row r="140" spans="1:13" ht="15" x14ac:dyDescent="0.25">
      <c r="A140" s="2" t="s">
        <v>377</v>
      </c>
      <c r="B140" s="2" t="s">
        <v>383</v>
      </c>
      <c r="C140" s="40" t="s">
        <v>20</v>
      </c>
      <c r="D140" s="40">
        <v>1</v>
      </c>
      <c r="E140" s="2" t="s">
        <v>501</v>
      </c>
      <c r="F140" s="2" t="s">
        <v>15</v>
      </c>
      <c r="G140" s="2" t="s">
        <v>16</v>
      </c>
      <c r="H140" s="40" t="str">
        <f t="shared" si="2"/>
        <v>39617002 VICTORY MRX 125 MT 125CC</v>
      </c>
      <c r="I140" s="40"/>
      <c r="J140" s="40"/>
      <c r="M140" s="39"/>
    </row>
    <row r="141" spans="1:13" ht="15" x14ac:dyDescent="0.25">
      <c r="A141" s="2" t="s">
        <v>378</v>
      </c>
      <c r="B141" s="2" t="s">
        <v>383</v>
      </c>
      <c r="C141" s="40" t="s">
        <v>20</v>
      </c>
      <c r="D141" s="40">
        <v>1</v>
      </c>
      <c r="E141" s="2" t="s">
        <v>502</v>
      </c>
      <c r="F141" s="2" t="s">
        <v>169</v>
      </c>
      <c r="G141" s="2" t="s">
        <v>6</v>
      </c>
      <c r="H141" s="40" t="str">
        <f t="shared" si="2"/>
        <v>39617003 VICTORY ADVANCE 110 MT 110CC</v>
      </c>
      <c r="I141" s="40"/>
      <c r="J141" s="40"/>
      <c r="M141" s="39"/>
    </row>
    <row r="142" spans="1:13" x14ac:dyDescent="0.2">
      <c r="A142" s="2" t="s">
        <v>499</v>
      </c>
      <c r="B142" s="2" t="s">
        <v>383</v>
      </c>
      <c r="C142" s="40" t="s">
        <v>20</v>
      </c>
      <c r="D142" s="40">
        <v>1</v>
      </c>
      <c r="E142" s="2" t="s">
        <v>500</v>
      </c>
      <c r="F142" s="2" t="s">
        <v>164</v>
      </c>
      <c r="G142" s="2" t="s">
        <v>148</v>
      </c>
      <c r="H142" s="40" t="str">
        <f t="shared" si="2"/>
        <v>39617004 VICTORY ONE 100 MT 100CC</v>
      </c>
    </row>
    <row r="143" spans="1:13" x14ac:dyDescent="0.2">
      <c r="A143" s="2"/>
      <c r="B143" s="2" t="s">
        <v>379</v>
      </c>
      <c r="C143" s="2" t="s">
        <v>20</v>
      </c>
      <c r="D143" s="40">
        <v>1</v>
      </c>
      <c r="E143" s="2" t="s">
        <v>387</v>
      </c>
      <c r="F143" s="2" t="s">
        <v>503</v>
      </c>
      <c r="G143" s="2" t="s">
        <v>504</v>
      </c>
      <c r="H143" s="40" t="str">
        <f t="shared" si="2"/>
        <v xml:space="preserve"> AUTECO BAJAJ DOMINAR 400 MT 400CC</v>
      </c>
    </row>
  </sheetData>
  <sheetProtection password="DEDD" sheet="1"/>
  <conditionalFormatting sqref="A2:A141">
    <cfRule type="duplicateValues" dxfId="0" priority="8"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Simulador cuota cliente</vt:lpstr>
      <vt:lpstr>NewCotizacion</vt:lpstr>
      <vt:lpstr>Cotizador</vt:lpstr>
      <vt:lpstr>Simulador asesor</vt:lpstr>
      <vt:lpstr>Tasas y Propuestas</vt:lpstr>
      <vt:lpstr>Fasecolda</vt:lpstr>
    </vt:vector>
  </TitlesOfParts>
  <Company>Suramericana de Seguros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carocuar</dc:creator>
  <cp:lastModifiedBy>Rayco</cp:lastModifiedBy>
  <cp:lastPrinted>2010-10-30T23:01:29Z</cp:lastPrinted>
  <dcterms:created xsi:type="dcterms:W3CDTF">2008-08-28T16:12:48Z</dcterms:created>
  <dcterms:modified xsi:type="dcterms:W3CDTF">2018-01-24T15:09:17Z</dcterms:modified>
</cp:coreProperties>
</file>